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319B033-0212-431F-8841-1F1F2BCEE21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Ив.69_1" sheetId="6" r:id="rId1"/>
  </sheets>
  <calcPr calcId="181029"/>
</workbook>
</file>

<file path=xl/calcChain.xml><?xml version="1.0" encoding="utf-8"?>
<calcChain xmlns="http://schemas.openxmlformats.org/spreadsheetml/2006/main">
  <c r="L34" i="6" l="1"/>
  <c r="D106" i="6" l="1"/>
  <c r="D94" i="6" l="1"/>
  <c r="D54" i="6"/>
  <c r="D45" i="6"/>
  <c r="D43" i="6" l="1"/>
  <c r="D44" i="6" s="1"/>
  <c r="T39" i="6" l="1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 l="1"/>
  <c r="C37" i="6"/>
  <c r="M31" i="6"/>
  <c r="L31" i="6"/>
  <c r="K31" i="6"/>
  <c r="J31" i="6"/>
  <c r="G31" i="6"/>
  <c r="F31" i="6"/>
  <c r="E31" i="6"/>
  <c r="D31" i="6"/>
  <c r="P30" i="6"/>
  <c r="F30" i="6"/>
  <c r="E30" i="6"/>
  <c r="D30" i="6"/>
  <c r="R29" i="6"/>
  <c r="Q29" i="6"/>
  <c r="P29" i="6"/>
  <c r="O29" i="6"/>
  <c r="N29" i="6"/>
  <c r="M29" i="6"/>
  <c r="L29" i="6"/>
  <c r="K29" i="6"/>
  <c r="J29" i="6"/>
  <c r="G29" i="6"/>
  <c r="G19" i="6" s="1"/>
  <c r="E29" i="6"/>
  <c r="Q28" i="6"/>
  <c r="P28" i="6"/>
  <c r="O28" i="6"/>
  <c r="M28" i="6"/>
  <c r="L28" i="6"/>
  <c r="K28" i="6"/>
  <c r="J28" i="6"/>
  <c r="E28" i="6"/>
  <c r="D28" i="6"/>
  <c r="S27" i="6"/>
  <c r="R27" i="6"/>
  <c r="Q27" i="6"/>
  <c r="P27" i="6"/>
  <c r="O27" i="6"/>
  <c r="N27" i="6"/>
  <c r="G27" i="6"/>
  <c r="E27" i="6"/>
  <c r="S26" i="6"/>
  <c r="R26" i="6"/>
  <c r="Q26" i="6"/>
  <c r="P26" i="6"/>
  <c r="O26" i="6"/>
  <c r="N26" i="6"/>
  <c r="G26" i="6"/>
  <c r="E26" i="6"/>
  <c r="D26" i="6"/>
  <c r="S25" i="6"/>
  <c r="S19" i="6" s="1"/>
  <c r="R25" i="6"/>
  <c r="Q25" i="6"/>
  <c r="P25" i="6"/>
  <c r="O25" i="6"/>
  <c r="N25" i="6"/>
  <c r="F25" i="6"/>
  <c r="E25" i="6"/>
  <c r="D25" i="6"/>
  <c r="C25" i="6" s="1"/>
  <c r="S24" i="6"/>
  <c r="R24" i="6"/>
  <c r="Q24" i="6"/>
  <c r="P24" i="6"/>
  <c r="O24" i="6"/>
  <c r="N24" i="6"/>
  <c r="M24" i="6"/>
  <c r="L24" i="6"/>
  <c r="K24" i="6"/>
  <c r="J24" i="6"/>
  <c r="G24" i="6"/>
  <c r="F24" i="6"/>
  <c r="E24" i="6"/>
  <c r="D24" i="6"/>
  <c r="S23" i="6"/>
  <c r="R23" i="6"/>
  <c r="Q23" i="6"/>
  <c r="P23" i="6"/>
  <c r="O23" i="6"/>
  <c r="N23" i="6"/>
  <c r="M23" i="6"/>
  <c r="L23" i="6"/>
  <c r="K23" i="6"/>
  <c r="J23" i="6"/>
  <c r="G23" i="6"/>
  <c r="F23" i="6"/>
  <c r="E23" i="6"/>
  <c r="D23" i="6"/>
  <c r="C23" i="6" s="1"/>
  <c r="E22" i="6"/>
  <c r="C22" i="6" s="1"/>
  <c r="E21" i="6"/>
  <c r="C21" i="6" s="1"/>
  <c r="E20" i="6"/>
  <c r="C20" i="6" s="1"/>
  <c r="T19" i="6"/>
  <c r="O19" i="6"/>
  <c r="I19" i="6"/>
  <c r="H19" i="6"/>
  <c r="C18" i="6"/>
  <c r="C17" i="6"/>
  <c r="E16" i="6"/>
  <c r="C16" i="6" s="1"/>
  <c r="C15" i="6"/>
  <c r="C14" i="6"/>
  <c r="C13" i="6"/>
  <c r="C12" i="6"/>
  <c r="S11" i="6"/>
  <c r="R11" i="6"/>
  <c r="Q11" i="6"/>
  <c r="P11" i="6"/>
  <c r="O11" i="6"/>
  <c r="S10" i="6"/>
  <c r="R10" i="6"/>
  <c r="R6" i="6" s="1"/>
  <c r="Q10" i="6"/>
  <c r="P10" i="6"/>
  <c r="O10" i="6"/>
  <c r="N10" i="6"/>
  <c r="N6" i="6" s="1"/>
  <c r="E10" i="6"/>
  <c r="C9" i="6"/>
  <c r="C8" i="6"/>
  <c r="E7" i="6"/>
  <c r="C7" i="6" s="1"/>
  <c r="T6" i="6"/>
  <c r="T38" i="6" s="1"/>
  <c r="T40" i="6" s="1"/>
  <c r="O6" i="6"/>
  <c r="M6" i="6"/>
  <c r="M38" i="6" s="1"/>
  <c r="M40" i="6" s="1"/>
  <c r="L6" i="6"/>
  <c r="L38" i="6" s="1"/>
  <c r="L40" i="6" s="1"/>
  <c r="K6" i="6"/>
  <c r="J6" i="6"/>
  <c r="J38" i="6" s="1"/>
  <c r="J40" i="6" s="1"/>
  <c r="I6" i="6"/>
  <c r="I32" i="6" s="1"/>
  <c r="H6" i="6"/>
  <c r="H38" i="6" s="1"/>
  <c r="H40" i="6" s="1"/>
  <c r="G6" i="6"/>
  <c r="F6" i="6"/>
  <c r="F38" i="6" s="1"/>
  <c r="F40" i="6" s="1"/>
  <c r="D6" i="6"/>
  <c r="D38" i="6" s="1"/>
  <c r="D40" i="6" s="1"/>
  <c r="C10" i="6" l="1"/>
  <c r="Q6" i="6"/>
  <c r="Q38" i="6" s="1"/>
  <c r="Q40" i="6" s="1"/>
  <c r="S6" i="6"/>
  <c r="K19" i="6"/>
  <c r="K32" i="6" s="1"/>
  <c r="C26" i="6"/>
  <c r="C29" i="6"/>
  <c r="S32" i="6"/>
  <c r="O32" i="6"/>
  <c r="L19" i="6"/>
  <c r="L32" i="6" s="1"/>
  <c r="P19" i="6"/>
  <c r="D19" i="6"/>
  <c r="D32" i="6" s="1"/>
  <c r="J19" i="6"/>
  <c r="J32" i="6" s="1"/>
  <c r="N19" i="6"/>
  <c r="R19" i="6"/>
  <c r="R32" i="6" s="1"/>
  <c r="I38" i="6"/>
  <c r="I40" i="6" s="1"/>
  <c r="G32" i="6"/>
  <c r="P6" i="6"/>
  <c r="P38" i="6" s="1"/>
  <c r="P40" i="6" s="1"/>
  <c r="C11" i="6"/>
  <c r="M19" i="6"/>
  <c r="M32" i="6" s="1"/>
  <c r="Q19" i="6"/>
  <c r="C27" i="6"/>
  <c r="C28" i="6"/>
  <c r="C30" i="6"/>
  <c r="C31" i="6"/>
  <c r="H32" i="6"/>
  <c r="T32" i="6"/>
  <c r="F19" i="6"/>
  <c r="F32" i="6" s="1"/>
  <c r="N38" i="6"/>
  <c r="N40" i="6" s="1"/>
  <c r="N32" i="6"/>
  <c r="R38" i="6"/>
  <c r="R40" i="6" s="1"/>
  <c r="P32" i="6"/>
  <c r="Q32" i="6"/>
  <c r="E6" i="6"/>
  <c r="E19" i="6"/>
  <c r="G38" i="6"/>
  <c r="G40" i="6" s="1"/>
  <c r="K38" i="6"/>
  <c r="K40" i="6" s="1"/>
  <c r="O38" i="6"/>
  <c r="O40" i="6" s="1"/>
  <c r="S38" i="6"/>
  <c r="S40" i="6" s="1"/>
  <c r="C24" i="6"/>
  <c r="C19" i="6" l="1"/>
  <c r="E32" i="6"/>
  <c r="E38" i="6"/>
  <c r="E40" i="6" s="1"/>
  <c r="C6" i="6"/>
  <c r="C32" i="6" l="1"/>
  <c r="C38" i="6"/>
  <c r="C40" i="6" s="1"/>
</calcChain>
</file>

<file path=xl/sharedStrings.xml><?xml version="1.0" encoding="utf-8"?>
<sst xmlns="http://schemas.openxmlformats.org/spreadsheetml/2006/main" count="121" uniqueCount="85">
  <si>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</si>
  <si>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</si>
  <si>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</si>
  <si>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</si>
  <si>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</si>
  <si>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</si>
  <si>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</si>
  <si>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</si>
  <si>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</si>
  <si>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</si>
  <si>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</si>
  <si>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</si>
  <si>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</si>
  <si>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</si>
  <si>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</si>
  <si>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</si>
  <si>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</si>
  <si>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</si>
  <si>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</si>
  <si>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</si>
  <si>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</si>
  <si>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</si>
  <si>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</si>
  <si>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</si>
  <si>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</si>
  <si>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</si>
  <si>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</si>
  <si>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</si>
  <si>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</si>
  <si>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</si>
  <si>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</si>
  <si>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</si>
  <si>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</si>
  <si>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РКО</t>
  </si>
  <si>
    <t>Программное обеспечение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</si>
  <si>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</si>
  <si>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</si>
  <si>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</si>
  <si>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</si>
  <si>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</si>
  <si>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</si>
  <si>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</si>
  <si>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</si>
  <si>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</si>
  <si>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</si>
  <si>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</si>
  <si>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</si>
  <si>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</si>
  <si>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</si>
  <si>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</si>
  <si>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</si>
  <si>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</si>
  <si>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</si>
  <si>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</si>
  <si>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</si>
  <si>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 xml:space="preserve">Информационная табличка </t>
  </si>
  <si>
    <t>Материалы, инструменты</t>
  </si>
  <si>
    <t>г. Кохма, ул. Ивановская, д. 69 корп. 1</t>
  </si>
  <si>
    <t>Содержание офиса (аренда, КУ)</t>
  </si>
  <si>
    <t>Охрана труда (оценка, защ.средства, быт.техника)</t>
  </si>
  <si>
    <t>Страхование лифтов</t>
  </si>
  <si>
    <t>Налог УСН 1%</t>
  </si>
  <si>
    <t>Услуги МФЦ</t>
  </si>
  <si>
    <t>Сопровождение программы 1с Бух</t>
  </si>
  <si>
    <t>Чистка КНС  (колодца)</t>
  </si>
  <si>
    <t>Очистка крыши от снега,наледи и сосулек</t>
  </si>
  <si>
    <t xml:space="preserve">фонд оплаты труда дворников,с отчислениями </t>
  </si>
  <si>
    <t>спец.одежда</t>
  </si>
  <si>
    <t>Материалы ( 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</si>
  <si>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</si>
  <si>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</si>
  <si>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</si>
  <si>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</si>
  <si>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Сан.обработка помещений</t>
  </si>
  <si>
    <t>Техническое диагностирование ВДГО в мкд</t>
  </si>
  <si>
    <t>Вывоз КГМ</t>
  </si>
  <si>
    <t>услуги по аренде эксковатора-погрузчика</t>
  </si>
  <si>
    <t>Обрезка деревьев</t>
  </si>
  <si>
    <t>Обслуживание УУТЭ</t>
  </si>
  <si>
    <t xml:space="preserve">Ремонт инженерного оборудования </t>
  </si>
  <si>
    <t>Инвентарь и материалы</t>
  </si>
  <si>
    <t>Аренда личного транспорта работников</t>
  </si>
  <si>
    <t>Отчет по затратам  за 2018год</t>
  </si>
  <si>
    <t>Генеральный директор  ________________________ Балыков А.И.</t>
  </si>
  <si>
    <t>Председатель Правления ТСЖ "Успех"  ______________________________ Свиридова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</si>
</sst>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4" fillId="0" borderId="0" xfId="0" applyNumberFormat="1" applyFont="1"/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71"/>
  <sheetViews>
    <sheetView tabSelected="1" zoomScaleNormal="100" workbookViewId="0">
      <selection activeCell="F152" sqref="F152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6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5.5703125" customWidth="1"/>
    <col min="11" max="11" width="14.7109375" customWidth="1"/>
    <col min="12" max="13" width="13.42578125" customWidth="1"/>
    <col min="14" max="14" width="16.28515625" customWidth="1"/>
    <col min="15" max="15" width="14.85546875" customWidth="1"/>
    <col min="16" max="16" width="17.28515625" customWidth="1"/>
    <col min="17" max="17" width="16" customWidth="1"/>
    <col min="18" max="18" width="15.28515625" customWidth="1"/>
    <col min="19" max="19" width="14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6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9" width="13.42578125" customWidth="1"/>
    <col min="270" max="270" width="16.285156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6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5" width="13.42578125" customWidth="1"/>
    <col min="526" max="526" width="16.285156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6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1" width="13.42578125" customWidth="1"/>
    <col min="782" max="782" width="16.285156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6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7" width="13.42578125" customWidth="1"/>
    <col min="1038" max="1038" width="16.285156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6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3" width="13.42578125" customWidth="1"/>
    <col min="1294" max="1294" width="16.285156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6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9" width="13.42578125" customWidth="1"/>
    <col min="1550" max="1550" width="16.285156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6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5" width="13.42578125" customWidth="1"/>
    <col min="1806" max="1806" width="16.285156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6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1" width="13.42578125" customWidth="1"/>
    <col min="2062" max="2062" width="16.285156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6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7" width="13.42578125" customWidth="1"/>
    <col min="2318" max="2318" width="16.285156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6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3" width="13.42578125" customWidth="1"/>
    <col min="2574" max="2574" width="16.285156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6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9" width="13.42578125" customWidth="1"/>
    <col min="2830" max="2830" width="16.285156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6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5" width="13.42578125" customWidth="1"/>
    <col min="3086" max="3086" width="16.285156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6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1" width="13.42578125" customWidth="1"/>
    <col min="3342" max="3342" width="16.285156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6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7" width="13.42578125" customWidth="1"/>
    <col min="3598" max="3598" width="16.285156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6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3" width="13.42578125" customWidth="1"/>
    <col min="3854" max="3854" width="16.285156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6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9" width="13.42578125" customWidth="1"/>
    <col min="4110" max="4110" width="16.285156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6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5" width="13.42578125" customWidth="1"/>
    <col min="4366" max="4366" width="16.285156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6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1" width="13.42578125" customWidth="1"/>
    <col min="4622" max="4622" width="16.285156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6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7" width="13.42578125" customWidth="1"/>
    <col min="4878" max="4878" width="16.285156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6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3" width="13.42578125" customWidth="1"/>
    <col min="5134" max="5134" width="16.285156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6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9" width="13.42578125" customWidth="1"/>
    <col min="5390" max="5390" width="16.285156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6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5" width="13.42578125" customWidth="1"/>
    <col min="5646" max="5646" width="16.285156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6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1" width="13.42578125" customWidth="1"/>
    <col min="5902" max="5902" width="16.285156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6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7" width="13.42578125" customWidth="1"/>
    <col min="6158" max="6158" width="16.285156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6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3" width="13.42578125" customWidth="1"/>
    <col min="6414" max="6414" width="16.285156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6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9" width="13.42578125" customWidth="1"/>
    <col min="6670" max="6670" width="16.285156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6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5" width="13.42578125" customWidth="1"/>
    <col min="6926" max="6926" width="16.285156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6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1" width="13.42578125" customWidth="1"/>
    <col min="7182" max="7182" width="16.285156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6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7" width="13.42578125" customWidth="1"/>
    <col min="7438" max="7438" width="16.285156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6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3" width="13.42578125" customWidth="1"/>
    <col min="7694" max="7694" width="16.285156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6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9" width="13.42578125" customWidth="1"/>
    <col min="7950" max="7950" width="16.285156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6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5" width="13.42578125" customWidth="1"/>
    <col min="8206" max="8206" width="16.285156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6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1" width="13.42578125" customWidth="1"/>
    <col min="8462" max="8462" width="16.285156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6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7" width="13.42578125" customWidth="1"/>
    <col min="8718" max="8718" width="16.285156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6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3" width="13.42578125" customWidth="1"/>
    <col min="8974" max="8974" width="16.285156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6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9" width="13.42578125" customWidth="1"/>
    <col min="9230" max="9230" width="16.285156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6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5" width="13.42578125" customWidth="1"/>
    <col min="9486" max="9486" width="16.285156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6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1" width="13.42578125" customWidth="1"/>
    <col min="9742" max="9742" width="16.285156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6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7" width="13.42578125" customWidth="1"/>
    <col min="9998" max="9998" width="16.285156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6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3" width="13.42578125" customWidth="1"/>
    <col min="10254" max="10254" width="16.285156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6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9" width="13.42578125" customWidth="1"/>
    <col min="10510" max="10510" width="16.285156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6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5" width="13.42578125" customWidth="1"/>
    <col min="10766" max="10766" width="16.285156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6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1" width="13.42578125" customWidth="1"/>
    <col min="11022" max="11022" width="16.285156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6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7" width="13.42578125" customWidth="1"/>
    <col min="11278" max="11278" width="16.285156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6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3" width="13.42578125" customWidth="1"/>
    <col min="11534" max="11534" width="16.285156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6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9" width="13.42578125" customWidth="1"/>
    <col min="11790" max="11790" width="16.285156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6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5" width="13.42578125" customWidth="1"/>
    <col min="12046" max="12046" width="16.285156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6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1" width="13.42578125" customWidth="1"/>
    <col min="12302" max="12302" width="16.285156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6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7" width="13.42578125" customWidth="1"/>
    <col min="12558" max="12558" width="16.285156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6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3" width="13.42578125" customWidth="1"/>
    <col min="12814" max="12814" width="16.285156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6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9" width="13.42578125" customWidth="1"/>
    <col min="13070" max="13070" width="16.285156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6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5" width="13.42578125" customWidth="1"/>
    <col min="13326" max="13326" width="16.285156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6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1" width="13.42578125" customWidth="1"/>
    <col min="13582" max="13582" width="16.285156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6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7" width="13.42578125" customWidth="1"/>
    <col min="13838" max="13838" width="16.285156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6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3" width="13.42578125" customWidth="1"/>
    <col min="14094" max="14094" width="16.285156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6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9" width="13.42578125" customWidth="1"/>
    <col min="14350" max="14350" width="16.285156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6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5" width="13.42578125" customWidth="1"/>
    <col min="14606" max="14606" width="16.285156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6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1" width="13.42578125" customWidth="1"/>
    <col min="14862" max="14862" width="16.285156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6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7" width="13.42578125" customWidth="1"/>
    <col min="15118" max="15118" width="16.285156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6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3" width="13.42578125" customWidth="1"/>
    <col min="15374" max="15374" width="16.285156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6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9" width="13.42578125" customWidth="1"/>
    <col min="15630" max="15630" width="16.285156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6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5" width="13.42578125" customWidth="1"/>
    <col min="15886" max="15886" width="16.285156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6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1" width="13.42578125" customWidth="1"/>
    <col min="16142" max="16142" width="16.285156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3" customFormat="1" ht="31.5" x14ac:dyDescent="0.5">
      <c r="A1" s="52" t="s">
        <v>0</v>
      </c>
      <c r="L1" s="52" t="s">
        <v>57</v>
      </c>
    </row>
    <row r="2" spans="1:20" ht="7.5" customHeight="1" x14ac:dyDescent="0.3">
      <c r="A2" s="1"/>
    </row>
    <row r="3" spans="1:20" ht="9.75" customHeight="1" x14ac:dyDescent="0.25"/>
    <row r="4" spans="1:20" s="3" customFormat="1" ht="66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722974.81</v>
      </c>
      <c r="D5" s="6"/>
      <c r="E5" s="6">
        <v>722974.81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2066007.07</v>
      </c>
      <c r="D6" s="10">
        <f>SUM(D7:D18)</f>
        <v>110434.18</v>
      </c>
      <c r="E6" s="10">
        <f t="shared" ref="E6:T6" si="1">SUM(E7:E18)</f>
        <v>424746.72999999992</v>
      </c>
      <c r="F6" s="10">
        <f t="shared" si="1"/>
        <v>65524.499999999993</v>
      </c>
      <c r="G6" s="10">
        <f t="shared" si="1"/>
        <v>19141.899999999998</v>
      </c>
      <c r="H6" s="10">
        <f t="shared" si="1"/>
        <v>0</v>
      </c>
      <c r="I6" s="10">
        <f t="shared" si="1"/>
        <v>0</v>
      </c>
      <c r="J6" s="10">
        <f t="shared" si="1"/>
        <v>2251.96</v>
      </c>
      <c r="K6" s="10">
        <f t="shared" si="1"/>
        <v>11783.690000000002</v>
      </c>
      <c r="L6" s="10">
        <f t="shared" si="1"/>
        <v>3687.86</v>
      </c>
      <c r="M6" s="10">
        <f t="shared" si="1"/>
        <v>3267.9299999999994</v>
      </c>
      <c r="N6" s="10">
        <f t="shared" si="1"/>
        <v>747086.40999999992</v>
      </c>
      <c r="O6" s="10">
        <f t="shared" si="1"/>
        <v>104579.09</v>
      </c>
      <c r="P6" s="10">
        <f t="shared" si="1"/>
        <v>85874.99</v>
      </c>
      <c r="Q6" s="10">
        <f t="shared" si="1"/>
        <v>151262.29</v>
      </c>
      <c r="R6" s="10">
        <f t="shared" si="1"/>
        <v>23740.47</v>
      </c>
      <c r="S6" s="10">
        <f t="shared" si="1"/>
        <v>312625.07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215392.71000000002</v>
      </c>
      <c r="D7" s="6">
        <v>9154.7999999999993</v>
      </c>
      <c r="E7" s="6">
        <f>35612.2-3112.04</f>
        <v>32500.159999999996</v>
      </c>
      <c r="F7" s="6">
        <v>5431.87</v>
      </c>
      <c r="G7" s="6">
        <v>1586.81</v>
      </c>
      <c r="H7" s="6"/>
      <c r="I7" s="6"/>
      <c r="J7" s="6">
        <v>182.78</v>
      </c>
      <c r="K7" s="6">
        <v>956.29</v>
      </c>
      <c r="L7" s="6">
        <v>299.35000000000002</v>
      </c>
      <c r="M7" s="6">
        <v>264.41000000000003</v>
      </c>
      <c r="N7" s="6">
        <v>117016.9</v>
      </c>
      <c r="O7" s="6">
        <v>7407.01</v>
      </c>
      <c r="P7" s="6">
        <v>6082.3</v>
      </c>
      <c r="Q7" s="6">
        <v>4029.64</v>
      </c>
      <c r="R7" s="6">
        <v>632.47</v>
      </c>
      <c r="S7" s="6">
        <v>29847.919999999998</v>
      </c>
      <c r="T7" s="6"/>
    </row>
    <row r="8" spans="1:20" s="7" customFormat="1" ht="18.75" x14ac:dyDescent="0.3">
      <c r="A8" s="4"/>
      <c r="B8" s="12">
        <v>43132</v>
      </c>
      <c r="C8" s="6">
        <f t="shared" si="0"/>
        <v>258975.97</v>
      </c>
      <c r="D8" s="6">
        <v>9154.7999999999993</v>
      </c>
      <c r="E8" s="6">
        <v>35612.199999999997</v>
      </c>
      <c r="F8" s="6">
        <v>5431.87</v>
      </c>
      <c r="G8" s="6">
        <v>1586.81</v>
      </c>
      <c r="H8" s="6"/>
      <c r="I8" s="6"/>
      <c r="J8" s="6">
        <v>182.78</v>
      </c>
      <c r="K8" s="6">
        <v>956.29</v>
      </c>
      <c r="L8" s="6">
        <v>299.35000000000002</v>
      </c>
      <c r="M8" s="6">
        <v>264.41000000000003</v>
      </c>
      <c r="N8" s="6">
        <v>149488.62</v>
      </c>
      <c r="O8" s="6">
        <v>8796.42</v>
      </c>
      <c r="P8" s="6">
        <v>7223.21</v>
      </c>
      <c r="Q8" s="6">
        <v>12158.99</v>
      </c>
      <c r="R8" s="6">
        <v>1908.4</v>
      </c>
      <c r="S8" s="6">
        <v>25911.82</v>
      </c>
      <c r="T8" s="6"/>
    </row>
    <row r="9" spans="1:20" s="7" customFormat="1" ht="18.75" x14ac:dyDescent="0.3">
      <c r="A9" s="4"/>
      <c r="B9" s="12">
        <v>43160</v>
      </c>
      <c r="C9" s="6">
        <f t="shared" si="0"/>
        <v>246750.52999999997</v>
      </c>
      <c r="D9" s="6">
        <v>9157.57</v>
      </c>
      <c r="E9" s="6">
        <v>35623.06</v>
      </c>
      <c r="F9" s="6">
        <v>5433.51</v>
      </c>
      <c r="G9" s="6">
        <v>1587.31</v>
      </c>
      <c r="H9" s="6"/>
      <c r="I9" s="6"/>
      <c r="J9" s="6">
        <v>182.83</v>
      </c>
      <c r="K9" s="6">
        <v>956.57</v>
      </c>
      <c r="L9" s="6">
        <v>299.44</v>
      </c>
      <c r="M9" s="6">
        <v>264.45999999999998</v>
      </c>
      <c r="N9" s="6">
        <v>127569.68</v>
      </c>
      <c r="O9" s="6">
        <v>9189.09</v>
      </c>
      <c r="P9" s="6">
        <v>7545.68</v>
      </c>
      <c r="Q9" s="6">
        <v>17690.38</v>
      </c>
      <c r="R9" s="6">
        <v>2776.62</v>
      </c>
      <c r="S9" s="6">
        <v>28474.33</v>
      </c>
      <c r="T9" s="6"/>
    </row>
    <row r="10" spans="1:20" s="7" customFormat="1" ht="18.75" x14ac:dyDescent="0.3">
      <c r="A10" s="4"/>
      <c r="B10" s="12">
        <v>43191</v>
      </c>
      <c r="C10" s="6">
        <f t="shared" si="0"/>
        <v>176000.45</v>
      </c>
      <c r="D10" s="6">
        <v>9175.52</v>
      </c>
      <c r="E10" s="6">
        <f>35692.84</f>
        <v>35692.839999999997</v>
      </c>
      <c r="F10" s="6">
        <v>5444.16</v>
      </c>
      <c r="G10" s="6">
        <v>1590.38</v>
      </c>
      <c r="H10" s="6"/>
      <c r="I10" s="6"/>
      <c r="J10" s="6">
        <v>183.18</v>
      </c>
      <c r="K10" s="6">
        <v>958.46</v>
      </c>
      <c r="L10" s="6">
        <v>300.02999999999997</v>
      </c>
      <c r="M10" s="6">
        <v>265.01</v>
      </c>
      <c r="N10" s="6">
        <f>266.65+72000.7</f>
        <v>72267.349999999991</v>
      </c>
      <c r="O10" s="6">
        <f>17.32+8345.55</f>
        <v>8362.869999999999</v>
      </c>
      <c r="P10" s="6">
        <f>14.24+6852.96</f>
        <v>6867.2</v>
      </c>
      <c r="Q10" s="6">
        <f>32.4+12238.36</f>
        <v>12270.76</v>
      </c>
      <c r="R10" s="6">
        <f>5.07+1920.87</f>
        <v>1925.9399999999998</v>
      </c>
      <c r="S10" s="6">
        <f>32.38+20664.37</f>
        <v>20696.75</v>
      </c>
      <c r="T10" s="6"/>
    </row>
    <row r="11" spans="1:20" s="7" customFormat="1" ht="18.75" x14ac:dyDescent="0.3">
      <c r="A11" s="4"/>
      <c r="B11" s="12">
        <v>43221</v>
      </c>
      <c r="C11" s="6">
        <f t="shared" si="0"/>
        <v>112801.35</v>
      </c>
      <c r="D11" s="6">
        <v>9195.76</v>
      </c>
      <c r="E11" s="6">
        <v>35771.57</v>
      </c>
      <c r="F11" s="6">
        <v>5456.18</v>
      </c>
      <c r="G11" s="6">
        <v>1593.92</v>
      </c>
      <c r="H11" s="6"/>
      <c r="I11" s="6"/>
      <c r="J11" s="6">
        <v>183.57</v>
      </c>
      <c r="K11" s="6">
        <v>960.58</v>
      </c>
      <c r="L11" s="6">
        <v>300.67</v>
      </c>
      <c r="M11" s="6">
        <v>265.58999999999997</v>
      </c>
      <c r="N11" s="6">
        <v>606.23</v>
      </c>
      <c r="O11" s="6">
        <f>39.72+8691.28</f>
        <v>8731</v>
      </c>
      <c r="P11" s="6">
        <f>32.61+7136.88</f>
        <v>7169.49</v>
      </c>
      <c r="Q11" s="6">
        <f>80.16+13610.95</f>
        <v>13691.11</v>
      </c>
      <c r="R11" s="6">
        <f>12.6+2136.31</f>
        <v>2148.91</v>
      </c>
      <c r="S11" s="6">
        <f>110.36+26616.41</f>
        <v>26726.77</v>
      </c>
      <c r="T11" s="6"/>
    </row>
    <row r="12" spans="1:20" s="7" customFormat="1" ht="18.75" x14ac:dyDescent="0.3">
      <c r="A12" s="4"/>
      <c r="B12" s="12">
        <v>43252</v>
      </c>
      <c r="C12" s="6">
        <f t="shared" si="0"/>
        <v>109020.81999999999</v>
      </c>
      <c r="D12" s="6">
        <v>9195.3700000000008</v>
      </c>
      <c r="E12" s="6">
        <v>35770</v>
      </c>
      <c r="F12" s="6">
        <v>5455.94</v>
      </c>
      <c r="G12" s="6">
        <v>1593.85</v>
      </c>
      <c r="H12" s="6"/>
      <c r="I12" s="6"/>
      <c r="J12" s="6">
        <v>183.59</v>
      </c>
      <c r="K12" s="6">
        <v>960.55</v>
      </c>
      <c r="L12" s="6">
        <v>300.67</v>
      </c>
      <c r="M12" s="6">
        <v>265.58</v>
      </c>
      <c r="N12" s="6"/>
      <c r="O12" s="6">
        <v>8067.49</v>
      </c>
      <c r="P12" s="6">
        <v>6624.65</v>
      </c>
      <c r="Q12" s="6">
        <v>13922.86</v>
      </c>
      <c r="R12" s="6">
        <v>2185.29</v>
      </c>
      <c r="S12" s="6">
        <v>24494.98</v>
      </c>
      <c r="T12" s="6"/>
    </row>
    <row r="13" spans="1:20" s="7" customFormat="1" ht="18.75" x14ac:dyDescent="0.3">
      <c r="A13" s="4"/>
      <c r="B13" s="12">
        <v>43282</v>
      </c>
      <c r="C13" s="6">
        <f t="shared" si="0"/>
        <v>123224.73000000001</v>
      </c>
      <c r="D13" s="6">
        <v>9196.6</v>
      </c>
      <c r="E13" s="6">
        <v>35774.83</v>
      </c>
      <c r="F13" s="6">
        <v>5456.68</v>
      </c>
      <c r="G13" s="6">
        <v>1594.14</v>
      </c>
      <c r="H13" s="6"/>
      <c r="I13" s="6"/>
      <c r="J13" s="6">
        <v>191.46</v>
      </c>
      <c r="K13" s="6">
        <v>1001.92</v>
      </c>
      <c r="L13" s="6">
        <v>313.51</v>
      </c>
      <c r="M13" s="6">
        <v>278.67</v>
      </c>
      <c r="N13" s="6"/>
      <c r="O13" s="6">
        <v>8762.41</v>
      </c>
      <c r="P13" s="6">
        <v>7195.22</v>
      </c>
      <c r="Q13" s="6">
        <v>12542.08</v>
      </c>
      <c r="R13" s="6">
        <v>1968.39</v>
      </c>
      <c r="S13" s="6">
        <v>38948.82</v>
      </c>
      <c r="T13" s="6"/>
    </row>
    <row r="14" spans="1:20" s="7" customFormat="1" ht="18.75" x14ac:dyDescent="0.3">
      <c r="A14" s="4"/>
      <c r="B14" s="12">
        <v>43313</v>
      </c>
      <c r="C14" s="6">
        <f t="shared" si="0"/>
        <v>91239.25999999998</v>
      </c>
      <c r="D14" s="6">
        <v>9198.2999999999993</v>
      </c>
      <c r="E14" s="6">
        <v>34523.81</v>
      </c>
      <c r="F14" s="6">
        <v>5457.67</v>
      </c>
      <c r="G14" s="6">
        <v>1594.37</v>
      </c>
      <c r="H14" s="6"/>
      <c r="I14" s="6"/>
      <c r="J14" s="6">
        <v>191.51</v>
      </c>
      <c r="K14" s="6">
        <v>1002.1</v>
      </c>
      <c r="L14" s="6">
        <v>313.56</v>
      </c>
      <c r="M14" s="6">
        <v>278.72000000000003</v>
      </c>
      <c r="N14" s="6"/>
      <c r="O14" s="6">
        <v>9653.52</v>
      </c>
      <c r="P14" s="6">
        <v>7926.92</v>
      </c>
      <c r="Q14" s="6">
        <v>11772.76</v>
      </c>
      <c r="R14" s="6">
        <v>1847.7</v>
      </c>
      <c r="S14" s="6">
        <v>7478.32</v>
      </c>
      <c r="T14" s="6"/>
    </row>
    <row r="15" spans="1:20" s="7" customFormat="1" ht="18.75" x14ac:dyDescent="0.3">
      <c r="A15" s="4"/>
      <c r="B15" s="12">
        <v>43344</v>
      </c>
      <c r="C15" s="6">
        <f t="shared" si="0"/>
        <v>108241.63</v>
      </c>
      <c r="D15" s="6">
        <v>9213.15</v>
      </c>
      <c r="E15" s="6">
        <v>35839.67</v>
      </c>
      <c r="F15" s="6">
        <v>5466.45</v>
      </c>
      <c r="G15" s="6">
        <v>1596.91</v>
      </c>
      <c r="H15" s="6"/>
      <c r="I15" s="6"/>
      <c r="J15" s="6">
        <v>191.78</v>
      </c>
      <c r="K15" s="6">
        <v>1003.65</v>
      </c>
      <c r="L15" s="6">
        <v>314.04000000000002</v>
      </c>
      <c r="M15" s="6">
        <v>279.16000000000003</v>
      </c>
      <c r="N15" s="6"/>
      <c r="O15" s="6">
        <v>8495.51</v>
      </c>
      <c r="P15" s="6">
        <v>6976.05</v>
      </c>
      <c r="Q15" s="6">
        <v>11988.66</v>
      </c>
      <c r="R15" s="6">
        <v>1881.53</v>
      </c>
      <c r="S15" s="6">
        <v>24995.07</v>
      </c>
      <c r="T15" s="6"/>
    </row>
    <row r="16" spans="1:20" s="7" customFormat="1" ht="18.75" x14ac:dyDescent="0.3">
      <c r="A16" s="4"/>
      <c r="B16" s="12">
        <v>43374</v>
      </c>
      <c r="C16" s="6">
        <f t="shared" si="0"/>
        <v>157623.34000000003</v>
      </c>
      <c r="D16" s="6">
        <v>9260.75</v>
      </c>
      <c r="E16" s="6">
        <f>36022.7-472.91</f>
        <v>35549.789999999994</v>
      </c>
      <c r="F16" s="6">
        <v>5494.73</v>
      </c>
      <c r="G16" s="6">
        <v>1605.24</v>
      </c>
      <c r="H16" s="6"/>
      <c r="I16" s="6"/>
      <c r="J16" s="6">
        <v>192.75</v>
      </c>
      <c r="K16" s="6">
        <v>1008.69</v>
      </c>
      <c r="L16" s="6">
        <v>315.62</v>
      </c>
      <c r="M16" s="6">
        <v>280.51</v>
      </c>
      <c r="N16" s="6">
        <v>46092.37</v>
      </c>
      <c r="O16" s="6">
        <v>8866.43</v>
      </c>
      <c r="P16" s="6">
        <v>7280.57</v>
      </c>
      <c r="Q16" s="6">
        <v>11740.38</v>
      </c>
      <c r="R16" s="6">
        <v>1842.45</v>
      </c>
      <c r="S16" s="6">
        <v>28093.06</v>
      </c>
      <c r="T16" s="6"/>
    </row>
    <row r="17" spans="1:20" s="7" customFormat="1" ht="18.75" x14ac:dyDescent="0.3">
      <c r="A17" s="4"/>
      <c r="B17" s="12">
        <v>43405</v>
      </c>
      <c r="C17" s="6">
        <f t="shared" si="0"/>
        <v>214942.23</v>
      </c>
      <c r="D17" s="6">
        <v>9232.5</v>
      </c>
      <c r="E17" s="6">
        <v>35914.81</v>
      </c>
      <c r="F17" s="6">
        <v>5477.98</v>
      </c>
      <c r="G17" s="6">
        <v>1600.34</v>
      </c>
      <c r="H17" s="6"/>
      <c r="I17" s="6"/>
      <c r="J17" s="6">
        <v>192.2</v>
      </c>
      <c r="K17" s="6">
        <v>1005.76</v>
      </c>
      <c r="L17" s="6">
        <v>314.7</v>
      </c>
      <c r="M17" s="6">
        <v>279.70999999999998</v>
      </c>
      <c r="N17" s="6">
        <v>100860.01</v>
      </c>
      <c r="O17" s="6">
        <v>9235.76</v>
      </c>
      <c r="P17" s="6">
        <v>7583.89</v>
      </c>
      <c r="Q17" s="6">
        <v>13601.62</v>
      </c>
      <c r="R17" s="6">
        <v>2134.6999999999998</v>
      </c>
      <c r="S17" s="6">
        <v>27508.25</v>
      </c>
      <c r="T17" s="6"/>
    </row>
    <row r="18" spans="1:20" s="7" customFormat="1" ht="18.75" x14ac:dyDescent="0.3">
      <c r="A18" s="4"/>
      <c r="B18" s="12">
        <v>43435</v>
      </c>
      <c r="C18" s="6">
        <f t="shared" si="0"/>
        <v>251794.05</v>
      </c>
      <c r="D18" s="6">
        <v>9299.06</v>
      </c>
      <c r="E18" s="6">
        <v>36173.99</v>
      </c>
      <c r="F18" s="6">
        <v>5517.46</v>
      </c>
      <c r="G18" s="6">
        <v>1611.82</v>
      </c>
      <c r="H18" s="6"/>
      <c r="I18" s="6"/>
      <c r="J18" s="6">
        <v>193.53</v>
      </c>
      <c r="K18" s="6">
        <v>1012.83</v>
      </c>
      <c r="L18" s="6">
        <v>316.92</v>
      </c>
      <c r="M18" s="6">
        <v>281.7</v>
      </c>
      <c r="N18" s="6">
        <v>133185.25</v>
      </c>
      <c r="O18" s="6">
        <v>9011.58</v>
      </c>
      <c r="P18" s="6">
        <v>7399.81</v>
      </c>
      <c r="Q18" s="6">
        <v>15853.05</v>
      </c>
      <c r="R18" s="6">
        <v>2488.0700000000002</v>
      </c>
      <c r="S18" s="6">
        <v>29448.98</v>
      </c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1955507.67</v>
      </c>
      <c r="D19" s="15">
        <f t="shared" ref="D19:T19" si="2">SUM(D20:D31)</f>
        <v>101312.36000000002</v>
      </c>
      <c r="E19" s="15">
        <f t="shared" si="2"/>
        <v>403439.29000000004</v>
      </c>
      <c r="F19" s="15">
        <f t="shared" si="2"/>
        <v>60003.30999999999</v>
      </c>
      <c r="G19" s="15">
        <f t="shared" si="2"/>
        <v>16225.829999999996</v>
      </c>
      <c r="H19" s="15">
        <f t="shared" si="2"/>
        <v>0</v>
      </c>
      <c r="I19" s="15">
        <f t="shared" si="2"/>
        <v>0</v>
      </c>
      <c r="J19" s="15">
        <f t="shared" si="2"/>
        <v>2071.7699999999995</v>
      </c>
      <c r="K19" s="15">
        <f t="shared" si="2"/>
        <v>10798.62</v>
      </c>
      <c r="L19" s="15">
        <f t="shared" si="2"/>
        <v>3335.35</v>
      </c>
      <c r="M19" s="15">
        <f t="shared" si="2"/>
        <v>3346.3899999999994</v>
      </c>
      <c r="N19" s="15">
        <f t="shared" si="2"/>
        <v>671422.98</v>
      </c>
      <c r="O19" s="15">
        <f t="shared" si="2"/>
        <v>107248.63</v>
      </c>
      <c r="P19" s="15">
        <f t="shared" si="2"/>
        <v>89047.640000000014</v>
      </c>
      <c r="Q19" s="15">
        <f t="shared" si="2"/>
        <v>156923.78999999998</v>
      </c>
      <c r="R19" s="15">
        <f t="shared" si="2"/>
        <v>25241.7</v>
      </c>
      <c r="S19" s="15">
        <f t="shared" si="2"/>
        <v>305090.01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222336.12999999998</v>
      </c>
      <c r="D20" s="6">
        <v>10162.41</v>
      </c>
      <c r="E20" s="6">
        <f>42209.68+505.47+209.07+286.21</f>
        <v>43210.43</v>
      </c>
      <c r="F20" s="6">
        <v>6031.84</v>
      </c>
      <c r="G20" s="6">
        <v>827.56</v>
      </c>
      <c r="H20" s="6"/>
      <c r="I20" s="6"/>
      <c r="J20" s="6">
        <v>225.24</v>
      </c>
      <c r="K20" s="6">
        <v>1104.42</v>
      </c>
      <c r="L20" s="6">
        <v>294.77999999999997</v>
      </c>
      <c r="M20" s="6">
        <v>613.53</v>
      </c>
      <c r="N20" s="6">
        <v>89022.87</v>
      </c>
      <c r="O20" s="6">
        <v>12360.74</v>
      </c>
      <c r="P20" s="6">
        <v>8591.0300000000007</v>
      </c>
      <c r="Q20" s="6">
        <v>17426.3</v>
      </c>
      <c r="R20" s="6">
        <v>2157.13</v>
      </c>
      <c r="S20" s="6">
        <v>30307.85</v>
      </c>
      <c r="T20" s="6"/>
    </row>
    <row r="21" spans="1:20" s="7" customFormat="1" ht="18.75" x14ac:dyDescent="0.3">
      <c r="A21" s="4"/>
      <c r="B21" s="12">
        <v>43132</v>
      </c>
      <c r="C21" s="6">
        <f t="shared" si="0"/>
        <v>153952.74</v>
      </c>
      <c r="D21" s="6">
        <v>6850.35</v>
      </c>
      <c r="E21" s="6">
        <f>26647.29+61.38+336.13</f>
        <v>27044.800000000003</v>
      </c>
      <c r="F21" s="6">
        <v>4064.52</v>
      </c>
      <c r="G21" s="6">
        <v>978.68</v>
      </c>
      <c r="H21" s="6"/>
      <c r="I21" s="6"/>
      <c r="J21" s="6">
        <v>136.44999999999999</v>
      </c>
      <c r="K21" s="6">
        <v>714.63</v>
      </c>
      <c r="L21" s="6">
        <v>226.8</v>
      </c>
      <c r="M21" s="6">
        <v>189.13</v>
      </c>
      <c r="N21" s="6">
        <v>78183.899999999994</v>
      </c>
      <c r="O21" s="6">
        <v>5336.94</v>
      </c>
      <c r="P21" s="6">
        <v>4382.2299999999996</v>
      </c>
      <c r="Q21" s="6">
        <v>4672.08</v>
      </c>
      <c r="R21" s="6">
        <v>1210.04</v>
      </c>
      <c r="S21" s="6">
        <v>19962.189999999999</v>
      </c>
      <c r="T21" s="6"/>
    </row>
    <row r="22" spans="1:20" s="7" customFormat="1" ht="18.75" x14ac:dyDescent="0.3">
      <c r="A22" s="4"/>
      <c r="B22" s="12">
        <v>43160</v>
      </c>
      <c r="C22" s="6">
        <f t="shared" si="0"/>
        <v>232997.21000000002</v>
      </c>
      <c r="D22" s="6">
        <v>9061.4500000000007</v>
      </c>
      <c r="E22" s="6">
        <f>39387.99+27.38+373.26+100.66</f>
        <v>39889.29</v>
      </c>
      <c r="F22" s="6">
        <v>5376.44</v>
      </c>
      <c r="G22" s="6">
        <v>1348.19</v>
      </c>
      <c r="H22" s="6"/>
      <c r="I22" s="6"/>
      <c r="J22" s="6">
        <v>184.07</v>
      </c>
      <c r="K22" s="6">
        <v>950.83</v>
      </c>
      <c r="L22" s="6">
        <v>294.87</v>
      </c>
      <c r="M22" s="6">
        <v>293.18</v>
      </c>
      <c r="N22" s="6">
        <v>114566.03</v>
      </c>
      <c r="O22" s="6">
        <v>6558.37</v>
      </c>
      <c r="P22" s="6">
        <v>6946.85</v>
      </c>
      <c r="Q22" s="6">
        <v>17953.27</v>
      </c>
      <c r="R22" s="6">
        <v>3003.89</v>
      </c>
      <c r="S22" s="6">
        <v>26570.48</v>
      </c>
      <c r="T22" s="6"/>
    </row>
    <row r="23" spans="1:20" s="7" customFormat="1" ht="18.75" x14ac:dyDescent="0.3">
      <c r="A23" s="4"/>
      <c r="B23" s="12">
        <v>43191</v>
      </c>
      <c r="C23" s="6">
        <f t="shared" si="0"/>
        <v>264372.77</v>
      </c>
      <c r="D23" s="6">
        <f>11313.45-713.74</f>
        <v>10599.710000000001</v>
      </c>
      <c r="E23" s="6">
        <f>43976.48+172.88+535.8+88.73-2135.22+40.84</f>
        <v>42679.51</v>
      </c>
      <c r="F23" s="6">
        <f>6717.19-425.98</f>
        <v>6291.2099999999991</v>
      </c>
      <c r="G23" s="6">
        <f>1793.82-17.45</f>
        <v>1776.37</v>
      </c>
      <c r="H23" s="6"/>
      <c r="I23" s="6"/>
      <c r="J23" s="6">
        <f>218.51-6.74</f>
        <v>211.76999999999998</v>
      </c>
      <c r="K23" s="6">
        <f>1169.08-25.17</f>
        <v>1143.9099999999999</v>
      </c>
      <c r="L23" s="6">
        <f>374.04-11.02</f>
        <v>363.02000000000004</v>
      </c>
      <c r="M23" s="6">
        <f>383.61-13.29</f>
        <v>370.32</v>
      </c>
      <c r="N23" s="6">
        <f>121992.5+6235.4</f>
        <v>128227.9</v>
      </c>
      <c r="O23" s="6">
        <f>11362.35-344.71</f>
        <v>11017.640000000001</v>
      </c>
      <c r="P23" s="6">
        <f>9331.16+249.88</f>
        <v>9581.0399999999991</v>
      </c>
      <c r="Q23" s="6">
        <f>21737.89-312.94</f>
        <v>21424.95</v>
      </c>
      <c r="R23" s="6">
        <f>3734.13-36.26</f>
        <v>3697.87</v>
      </c>
      <c r="S23" s="6">
        <f>29471.15-2483.6</f>
        <v>26987.550000000003</v>
      </c>
      <c r="T23" s="6"/>
    </row>
    <row r="24" spans="1:20" s="7" customFormat="1" ht="18.75" x14ac:dyDescent="0.3">
      <c r="A24" s="4"/>
      <c r="B24" s="12">
        <v>43221</v>
      </c>
      <c r="C24" s="6">
        <f t="shared" si="0"/>
        <v>151656.23000000001</v>
      </c>
      <c r="D24" s="6">
        <f>8006.49-36.62</f>
        <v>7969.87</v>
      </c>
      <c r="E24" s="6">
        <f>31125.79+283.44-292.93+55.76</f>
        <v>31172.059999999998</v>
      </c>
      <c r="F24" s="6">
        <f>4782.93-21.72</f>
        <v>4761.21</v>
      </c>
      <c r="G24" s="6">
        <f>1508.13-32.34</f>
        <v>1475.7900000000002</v>
      </c>
      <c r="H24" s="6"/>
      <c r="I24" s="6"/>
      <c r="J24" s="6">
        <f>158.94-8.54</f>
        <v>150.4</v>
      </c>
      <c r="K24" s="6">
        <f>839.88-45.04</f>
        <v>794.84</v>
      </c>
      <c r="L24" s="6">
        <f>265.2-13.44</f>
        <v>251.76</v>
      </c>
      <c r="M24" s="6">
        <f>210.73-12.5</f>
        <v>198.23</v>
      </c>
      <c r="N24" s="6">
        <f>5703.59+53967.12</f>
        <v>59670.710000000006</v>
      </c>
      <c r="O24" s="6">
        <f>2087.39+4296.89</f>
        <v>6384.2800000000007</v>
      </c>
      <c r="P24" s="6">
        <f>2266.76+3579.74+0.09</f>
        <v>5846.59</v>
      </c>
      <c r="Q24" s="6">
        <f>2714.84+7073.13</f>
        <v>9787.9700000000012</v>
      </c>
      <c r="R24" s="6">
        <f>419.06+1208.32</f>
        <v>1627.3799999999999</v>
      </c>
      <c r="S24" s="6">
        <f>3113.43+18451.71</f>
        <v>21565.14</v>
      </c>
      <c r="T24" s="6"/>
    </row>
    <row r="25" spans="1:20" s="7" customFormat="1" ht="18.75" x14ac:dyDescent="0.3">
      <c r="A25" s="4"/>
      <c r="B25" s="12">
        <v>43252</v>
      </c>
      <c r="C25" s="6">
        <f t="shared" si="0"/>
        <v>130315.28</v>
      </c>
      <c r="D25" s="6">
        <f>8468.79-32.7</f>
        <v>8436.09</v>
      </c>
      <c r="E25" s="6">
        <f>32945.43+45.1-1000.19+46.02+48.76</f>
        <v>32085.119999999999</v>
      </c>
      <c r="F25" s="6">
        <f>5024.91-52.7</f>
        <v>4972.21</v>
      </c>
      <c r="G25" s="6">
        <v>1469.08</v>
      </c>
      <c r="H25" s="6"/>
      <c r="I25" s="6"/>
      <c r="J25" s="6">
        <v>169.16</v>
      </c>
      <c r="K25" s="6">
        <v>884.67</v>
      </c>
      <c r="L25" s="6">
        <v>276.95</v>
      </c>
      <c r="M25" s="6">
        <v>240.48</v>
      </c>
      <c r="N25" s="6">
        <f>-311.18+26583.87</f>
        <v>26272.69</v>
      </c>
      <c r="O25" s="6">
        <f>331.11+12077.53</f>
        <v>12408.640000000001</v>
      </c>
      <c r="P25" s="6">
        <f>-222.23+46.02+9971.34</f>
        <v>9795.130000000001</v>
      </c>
      <c r="Q25" s="6">
        <f>1065.51+9328.5</f>
        <v>10394.01</v>
      </c>
      <c r="R25" s="6">
        <f>144.67+1515.1</f>
        <v>1659.77</v>
      </c>
      <c r="S25" s="6">
        <f>236.58+21014.7</f>
        <v>21251.280000000002</v>
      </c>
      <c r="T25" s="6"/>
    </row>
    <row r="26" spans="1:20" s="7" customFormat="1" ht="18.75" x14ac:dyDescent="0.3">
      <c r="A26" s="4"/>
      <c r="B26" s="12">
        <v>43282</v>
      </c>
      <c r="C26" s="6">
        <f t="shared" si="0"/>
        <v>110445.43000000001</v>
      </c>
      <c r="D26" s="6">
        <f>8066.78-91.85</f>
        <v>7974.9299999999994</v>
      </c>
      <c r="E26" s="6">
        <f>31378.24+20.41</f>
        <v>31398.65</v>
      </c>
      <c r="F26" s="6">
        <v>4786.12</v>
      </c>
      <c r="G26" s="6">
        <f>1404.46-8.12</f>
        <v>1396.3400000000001</v>
      </c>
      <c r="H26" s="6"/>
      <c r="I26" s="6"/>
      <c r="J26" s="6">
        <v>160.57</v>
      </c>
      <c r="K26" s="6">
        <v>843.23</v>
      </c>
      <c r="L26" s="6">
        <v>264.36</v>
      </c>
      <c r="M26" s="6">
        <v>225.71</v>
      </c>
      <c r="N26" s="6">
        <f>-965.02+9774.87</f>
        <v>8809.85</v>
      </c>
      <c r="O26" s="6">
        <f>934.36+7577.6</f>
        <v>8511.9600000000009</v>
      </c>
      <c r="P26" s="6">
        <f>920.65+0.18+6056.41</f>
        <v>6977.24</v>
      </c>
      <c r="Q26" s="6">
        <f>5.64+13434.19</f>
        <v>13439.83</v>
      </c>
      <c r="R26" s="6">
        <f>0.86+2099.19</f>
        <v>2100.0500000000002</v>
      </c>
      <c r="S26" s="6">
        <f>398.49+23158.1</f>
        <v>23556.59</v>
      </c>
      <c r="T26" s="6"/>
    </row>
    <row r="27" spans="1:20" s="7" customFormat="1" ht="18.75" x14ac:dyDescent="0.3">
      <c r="A27" s="4"/>
      <c r="B27" s="12">
        <v>43313</v>
      </c>
      <c r="C27" s="6">
        <f t="shared" si="0"/>
        <v>114920.76</v>
      </c>
      <c r="D27" s="6">
        <v>8758.99</v>
      </c>
      <c r="E27" s="6">
        <f>32973.05+153.34</f>
        <v>33126.39</v>
      </c>
      <c r="F27" s="6">
        <v>5348.64</v>
      </c>
      <c r="G27" s="6">
        <f>1618.92-4.11</f>
        <v>1614.8100000000002</v>
      </c>
      <c r="H27" s="6"/>
      <c r="I27" s="6"/>
      <c r="J27" s="6">
        <v>189.89</v>
      </c>
      <c r="K27" s="6">
        <v>993.72</v>
      </c>
      <c r="L27" s="6">
        <v>311.02999999999997</v>
      </c>
      <c r="M27" s="6">
        <v>276</v>
      </c>
      <c r="N27" s="6">
        <f>-571.61+8034.84</f>
        <v>7463.2300000000005</v>
      </c>
      <c r="O27" s="6">
        <f>503.45+9018.13</f>
        <v>9521.58</v>
      </c>
      <c r="P27" s="6">
        <f>396.07+173.66+7433.98</f>
        <v>8003.7099999999991</v>
      </c>
      <c r="Q27" s="6">
        <f>233.09+13373.93</f>
        <v>13607.02</v>
      </c>
      <c r="R27" s="6">
        <f>29.43+2244.66</f>
        <v>2274.0899999999997</v>
      </c>
      <c r="S27" s="6">
        <f>-254.85+23686.51</f>
        <v>23431.66</v>
      </c>
      <c r="T27" s="6"/>
    </row>
    <row r="28" spans="1:20" s="7" customFormat="1" ht="18.75" x14ac:dyDescent="0.3">
      <c r="A28" s="4"/>
      <c r="B28" s="12">
        <v>43344</v>
      </c>
      <c r="C28" s="6">
        <f t="shared" si="0"/>
        <v>118282.5</v>
      </c>
      <c r="D28" s="6">
        <f>8944.66-3.27</f>
        <v>8941.39</v>
      </c>
      <c r="E28" s="6">
        <f>34879.86+338.01</f>
        <v>35217.870000000003</v>
      </c>
      <c r="F28" s="6">
        <v>5307.25</v>
      </c>
      <c r="G28" s="6">
        <v>1541.09</v>
      </c>
      <c r="H28" s="6"/>
      <c r="I28" s="6"/>
      <c r="J28" s="6">
        <f>184.79</f>
        <v>184.79</v>
      </c>
      <c r="K28" s="6">
        <f>967.17</f>
        <v>967.17</v>
      </c>
      <c r="L28" s="6">
        <f>302.69</f>
        <v>302.69</v>
      </c>
      <c r="M28" s="6">
        <f>265.54</f>
        <v>265.54000000000002</v>
      </c>
      <c r="N28" s="6">
        <v>10338.200000000001</v>
      </c>
      <c r="O28" s="6">
        <f>-466.89+8965.44</f>
        <v>8498.5500000000011</v>
      </c>
      <c r="P28" s="6">
        <f>-420.56+303.58+7492.77</f>
        <v>7375.7900000000009</v>
      </c>
      <c r="Q28" s="6">
        <f>-46.34+12693.54</f>
        <v>12647.2</v>
      </c>
      <c r="R28" s="6">
        <v>2131.62</v>
      </c>
      <c r="S28" s="6">
        <v>24563.35</v>
      </c>
      <c r="T28" s="6"/>
    </row>
    <row r="29" spans="1:20" s="7" customFormat="1" ht="18.75" x14ac:dyDescent="0.3">
      <c r="A29" s="4"/>
      <c r="B29" s="12">
        <v>43374</v>
      </c>
      <c r="C29" s="6">
        <f t="shared" si="0"/>
        <v>129648.04999999999</v>
      </c>
      <c r="D29" s="6">
        <v>8233.58</v>
      </c>
      <c r="E29" s="6">
        <f>31794.95-472.41+36.67-149.64</f>
        <v>31209.57</v>
      </c>
      <c r="F29" s="6">
        <v>4734.17</v>
      </c>
      <c r="G29" s="6">
        <f>1362.98-10.6</f>
        <v>1352.38</v>
      </c>
      <c r="H29" s="6"/>
      <c r="I29" s="6"/>
      <c r="J29" s="6">
        <f>165.51-2.16</f>
        <v>163.35</v>
      </c>
      <c r="K29" s="6">
        <f>865.65-11.28</f>
        <v>854.37</v>
      </c>
      <c r="L29" s="6">
        <f>270.87-3.53</f>
        <v>267.34000000000003</v>
      </c>
      <c r="M29" s="6">
        <f>235.68-3.12</f>
        <v>232.56</v>
      </c>
      <c r="N29" s="6">
        <f>24.84+23294.61</f>
        <v>23319.45</v>
      </c>
      <c r="O29" s="6">
        <f>2.76+9966.13</f>
        <v>9968.89</v>
      </c>
      <c r="P29" s="6">
        <f>-5.48+7791.64+36.61</f>
        <v>7822.77</v>
      </c>
      <c r="Q29" s="6">
        <f>0.44+12384.72</f>
        <v>12385.16</v>
      </c>
      <c r="R29" s="6">
        <f>0.01+1817.25</f>
        <v>1817.26</v>
      </c>
      <c r="S29" s="6">
        <v>27287.200000000001</v>
      </c>
      <c r="T29" s="6"/>
    </row>
    <row r="30" spans="1:20" s="7" customFormat="1" ht="18.75" x14ac:dyDescent="0.3">
      <c r="A30" s="4"/>
      <c r="B30" s="12">
        <v>43405</v>
      </c>
      <c r="C30" s="6">
        <f t="shared" si="0"/>
        <v>151322.33000000002</v>
      </c>
      <c r="D30" s="6">
        <f>7975.58-124.56</f>
        <v>7851.0199999999995</v>
      </c>
      <c r="E30" s="6">
        <f>30237.34-0.5-107.64-67.24</f>
        <v>30061.96</v>
      </c>
      <c r="F30" s="6">
        <f>4580.65-128.4</f>
        <v>4452.25</v>
      </c>
      <c r="G30" s="6">
        <v>1323.71</v>
      </c>
      <c r="H30" s="6"/>
      <c r="I30" s="6"/>
      <c r="J30" s="6">
        <v>158.5</v>
      </c>
      <c r="K30" s="6">
        <v>829.26</v>
      </c>
      <c r="L30" s="6">
        <v>259.81</v>
      </c>
      <c r="M30" s="6">
        <v>223.7</v>
      </c>
      <c r="N30" s="6">
        <v>58158.09</v>
      </c>
      <c r="O30" s="6">
        <v>6917.46</v>
      </c>
      <c r="P30" s="6">
        <f>5866.2-158.48</f>
        <v>5707.72</v>
      </c>
      <c r="Q30" s="6">
        <v>8675.7199999999993</v>
      </c>
      <c r="R30" s="6">
        <v>1293.6300000000001</v>
      </c>
      <c r="S30" s="6">
        <v>25409.5</v>
      </c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175258.24000000002</v>
      </c>
      <c r="D31" s="18">
        <f>6284.89+187.68</f>
        <v>6472.5700000000006</v>
      </c>
      <c r="E31" s="18">
        <f>24575.49+678.08+27.49+885.14+177.44</f>
        <v>26343.640000000003</v>
      </c>
      <c r="F31" s="18">
        <f>3766.23+111.22</f>
        <v>3877.45</v>
      </c>
      <c r="G31" s="18">
        <f>1106.97+14.86</f>
        <v>1121.83</v>
      </c>
      <c r="H31" s="18"/>
      <c r="I31" s="18"/>
      <c r="J31" s="18">
        <f>132.92+4.66</f>
        <v>137.57999999999998</v>
      </c>
      <c r="K31" s="18">
        <f>695.9+21.67</f>
        <v>717.56999999999994</v>
      </c>
      <c r="L31" s="18">
        <f>217.63+4.31</f>
        <v>221.94</v>
      </c>
      <c r="M31" s="18">
        <f>198.28+19.73</f>
        <v>218.01</v>
      </c>
      <c r="N31" s="18">
        <v>67390.06</v>
      </c>
      <c r="O31" s="18">
        <v>9763.58</v>
      </c>
      <c r="P31" s="18">
        <v>8017.54</v>
      </c>
      <c r="Q31" s="18">
        <v>14510.28</v>
      </c>
      <c r="R31" s="18">
        <v>2268.9699999999998</v>
      </c>
      <c r="S31" s="18">
        <v>34197.22</v>
      </c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833474.21</v>
      </c>
      <c r="D32" s="21">
        <f>D5+D6-D19</f>
        <v>9121.8199999999779</v>
      </c>
      <c r="E32" s="21">
        <f t="shared" ref="E32:T32" si="3">E5+E6-E19</f>
        <v>744282.25</v>
      </c>
      <c r="F32" s="21">
        <f t="shared" si="3"/>
        <v>5521.1900000000023</v>
      </c>
      <c r="G32" s="21">
        <f t="shared" si="3"/>
        <v>2916.0700000000015</v>
      </c>
      <c r="H32" s="21">
        <f t="shared" si="3"/>
        <v>0</v>
      </c>
      <c r="I32" s="21">
        <f t="shared" si="3"/>
        <v>0</v>
      </c>
      <c r="J32" s="21">
        <f t="shared" si="3"/>
        <v>180.19000000000051</v>
      </c>
      <c r="K32" s="21">
        <f t="shared" si="3"/>
        <v>985.07000000000153</v>
      </c>
      <c r="L32" s="21">
        <f t="shared" si="3"/>
        <v>352.51000000000022</v>
      </c>
      <c r="M32" s="21">
        <f t="shared" si="3"/>
        <v>-78.460000000000036</v>
      </c>
      <c r="N32" s="21">
        <f t="shared" si="3"/>
        <v>75663.429999999935</v>
      </c>
      <c r="O32" s="21">
        <f t="shared" si="3"/>
        <v>-2669.5400000000081</v>
      </c>
      <c r="P32" s="21">
        <f t="shared" si="3"/>
        <v>-3172.6500000000087</v>
      </c>
      <c r="Q32" s="21">
        <f t="shared" si="3"/>
        <v>-5661.4999999999709</v>
      </c>
      <c r="R32" s="21">
        <f t="shared" si="3"/>
        <v>-1501.2299999999996</v>
      </c>
      <c r="S32" s="21">
        <f t="shared" si="3"/>
        <v>7535.0599999999977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3" customFormat="1" ht="31.5" x14ac:dyDescent="0.5">
      <c r="A34" s="52" t="s">
        <v>82</v>
      </c>
      <c r="D34" s="54"/>
      <c r="E34" s="54"/>
      <c r="F34" s="54"/>
      <c r="G34" s="54"/>
      <c r="H34" s="54"/>
      <c r="I34" s="54"/>
      <c r="J34" s="54"/>
      <c r="K34" s="54"/>
      <c r="L34" s="54" t="str">
        <f>L1</f>
        <v>г. Кохма, ул. Ивановская, д. 69 корп. 1</v>
      </c>
      <c r="M34" s="55"/>
      <c r="N34" s="55"/>
      <c r="O34" s="54"/>
      <c r="P34" s="54"/>
      <c r="Q34" s="54"/>
      <c r="R34" s="54"/>
      <c r="S34" s="54"/>
      <c r="T34" s="55"/>
    </row>
    <row r="35" spans="1:20" s="53" customFormat="1" ht="31.5" x14ac:dyDescent="0.5">
      <c r="A35" s="52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5"/>
      <c r="O35" s="54"/>
      <c r="P35" s="54"/>
      <c r="Q35" s="54"/>
      <c r="R35" s="54"/>
      <c r="S35" s="54"/>
      <c r="T35" s="55"/>
    </row>
    <row r="36" spans="1:20" ht="60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6"/>
    </row>
    <row r="37" spans="1:20" ht="31.5" customHeight="1" x14ac:dyDescent="0.3">
      <c r="A37" s="27"/>
      <c r="B37" s="28" t="s">
        <v>25</v>
      </c>
      <c r="C37" s="6">
        <f>SUM(D37:T37)</f>
        <v>-172410.25</v>
      </c>
      <c r="D37" s="6">
        <v>54532.3</v>
      </c>
      <c r="E37" s="6">
        <v>-226942.55</v>
      </c>
      <c r="F37" s="6"/>
      <c r="G37" s="6"/>
      <c r="H37" s="6"/>
      <c r="I37" s="6"/>
      <c r="J37" s="6"/>
      <c r="K37" s="6"/>
      <c r="L37" s="6"/>
      <c r="M37" s="29"/>
      <c r="N37" s="29"/>
      <c r="O37" s="6"/>
      <c r="P37" s="6"/>
      <c r="Q37" s="6"/>
      <c r="R37" s="6"/>
      <c r="S37" s="6"/>
      <c r="T37" s="29"/>
    </row>
    <row r="38" spans="1:20" ht="41.25" customHeight="1" x14ac:dyDescent="0.3">
      <c r="A38" s="57" t="s">
        <v>26</v>
      </c>
      <c r="B38" s="57"/>
      <c r="C38" s="30">
        <f>C6</f>
        <v>2066007.07</v>
      </c>
      <c r="D38" s="30">
        <f t="shared" ref="D38:T38" si="4">D6</f>
        <v>110434.18</v>
      </c>
      <c r="E38" s="30">
        <f t="shared" si="4"/>
        <v>424746.72999999992</v>
      </c>
      <c r="F38" s="30">
        <f t="shared" si="4"/>
        <v>65524.499999999993</v>
      </c>
      <c r="G38" s="30">
        <f t="shared" si="4"/>
        <v>19141.899999999998</v>
      </c>
      <c r="H38" s="30">
        <f t="shared" si="4"/>
        <v>0</v>
      </c>
      <c r="I38" s="30">
        <f t="shared" si="4"/>
        <v>0</v>
      </c>
      <c r="J38" s="30">
        <f t="shared" si="4"/>
        <v>2251.96</v>
      </c>
      <c r="K38" s="30">
        <f t="shared" si="4"/>
        <v>11783.690000000002</v>
      </c>
      <c r="L38" s="30">
        <f t="shared" si="4"/>
        <v>3687.86</v>
      </c>
      <c r="M38" s="30">
        <f t="shared" si="4"/>
        <v>3267.9299999999994</v>
      </c>
      <c r="N38" s="30">
        <f t="shared" si="4"/>
        <v>747086.40999999992</v>
      </c>
      <c r="O38" s="30">
        <f t="shared" si="4"/>
        <v>104579.09</v>
      </c>
      <c r="P38" s="30">
        <f t="shared" si="4"/>
        <v>85874.99</v>
      </c>
      <c r="Q38" s="30">
        <f t="shared" si="4"/>
        <v>151262.29</v>
      </c>
      <c r="R38" s="30">
        <f t="shared" si="4"/>
        <v>23740.47</v>
      </c>
      <c r="S38" s="30">
        <f t="shared" si="4"/>
        <v>312625.07</v>
      </c>
      <c r="T38" s="30">
        <f t="shared" si="4"/>
        <v>0</v>
      </c>
    </row>
    <row r="39" spans="1:20" ht="29.25" customHeight="1" x14ac:dyDescent="0.3">
      <c r="A39" s="28">
        <v>5</v>
      </c>
      <c r="B39" s="28" t="s">
        <v>27</v>
      </c>
      <c r="C39" s="6">
        <f>SUM(D39:T39)</f>
        <v>2072636.7863</v>
      </c>
      <c r="D39" s="31">
        <f>D45</f>
        <v>12659.929999999998</v>
      </c>
      <c r="E39" s="31">
        <f>D54+D44</f>
        <v>449009.48629999987</v>
      </c>
      <c r="F39" s="31">
        <f>D94</f>
        <v>113065.79000000001</v>
      </c>
      <c r="G39" s="31">
        <f>D102</f>
        <v>18313.78</v>
      </c>
      <c r="H39" s="31">
        <f>D106</f>
        <v>0</v>
      </c>
      <c r="I39" s="31">
        <f>D111</f>
        <v>0</v>
      </c>
      <c r="J39" s="31">
        <f>D115</f>
        <v>0</v>
      </c>
      <c r="K39" s="31">
        <f>D119</f>
        <v>0</v>
      </c>
      <c r="L39" s="31">
        <f>D124</f>
        <v>0</v>
      </c>
      <c r="M39" s="31">
        <f>D136</f>
        <v>0</v>
      </c>
      <c r="N39" s="31">
        <f>D140</f>
        <v>745636.13</v>
      </c>
      <c r="O39" s="31">
        <f>D144</f>
        <v>120817.96</v>
      </c>
      <c r="P39" s="31">
        <f>D148</f>
        <v>99192</v>
      </c>
      <c r="Q39" s="31">
        <f>D152</f>
        <v>171771.31</v>
      </c>
      <c r="R39" s="31">
        <f>D156</f>
        <v>26956.34</v>
      </c>
      <c r="S39" s="31">
        <f>D160</f>
        <v>315214.06</v>
      </c>
      <c r="T39" s="29">
        <f>D164</f>
        <v>0</v>
      </c>
    </row>
    <row r="40" spans="1:20" ht="27" customHeight="1" x14ac:dyDescent="0.3">
      <c r="A40" s="32">
        <v>6</v>
      </c>
      <c r="B40" s="32" t="s">
        <v>28</v>
      </c>
      <c r="C40" s="33">
        <f>C37+C38-C39</f>
        <v>-179039.96629999997</v>
      </c>
      <c r="D40" s="33">
        <f t="shared" ref="D40:E40" si="5">D37+D38-D39</f>
        <v>152306.54999999999</v>
      </c>
      <c r="E40" s="33">
        <f t="shared" si="5"/>
        <v>-251205.30629999994</v>
      </c>
      <c r="F40" s="33">
        <f t="shared" ref="F40:T40" si="6">F38-F39</f>
        <v>-47541.290000000015</v>
      </c>
      <c r="G40" s="33">
        <f t="shared" si="6"/>
        <v>828.11999999999898</v>
      </c>
      <c r="H40" s="33">
        <f t="shared" si="6"/>
        <v>0</v>
      </c>
      <c r="I40" s="33">
        <f t="shared" si="6"/>
        <v>0</v>
      </c>
      <c r="J40" s="33">
        <f t="shared" si="6"/>
        <v>2251.96</v>
      </c>
      <c r="K40" s="33">
        <f t="shared" si="6"/>
        <v>11783.690000000002</v>
      </c>
      <c r="L40" s="33">
        <f t="shared" si="6"/>
        <v>3687.86</v>
      </c>
      <c r="M40" s="33">
        <f t="shared" si="6"/>
        <v>3267.9299999999994</v>
      </c>
      <c r="N40" s="33">
        <f t="shared" si="6"/>
        <v>1450.2799999999115</v>
      </c>
      <c r="O40" s="33">
        <f t="shared" si="6"/>
        <v>-16238.87000000001</v>
      </c>
      <c r="P40" s="33">
        <f t="shared" si="6"/>
        <v>-13317.009999999995</v>
      </c>
      <c r="Q40" s="33">
        <f t="shared" si="6"/>
        <v>-20509.01999999999</v>
      </c>
      <c r="R40" s="33">
        <f t="shared" si="6"/>
        <v>-3215.869999999999</v>
      </c>
      <c r="S40" s="33">
        <f t="shared" si="6"/>
        <v>-2588.9899999999907</v>
      </c>
      <c r="T40" s="33">
        <f t="shared" si="6"/>
        <v>0</v>
      </c>
    </row>
    <row r="43" spans="1:20" ht="18.75" x14ac:dyDescent="0.3">
      <c r="A43" s="1" t="s">
        <v>29</v>
      </c>
      <c r="D43" s="42">
        <f>D45+D54+D94+D102+D106+D111+D115+D119+D124+D136+D140+D144+D148+D152+D156+D160+D164</f>
        <v>2052115.6300000001</v>
      </c>
      <c r="E43" s="34"/>
    </row>
    <row r="44" spans="1:20" ht="19.5" thickBot="1" x14ac:dyDescent="0.35">
      <c r="A44" s="1" t="s">
        <v>61</v>
      </c>
      <c r="D44" s="34">
        <f>D43*0.01</f>
        <v>20521.156300000002</v>
      </c>
      <c r="E44" s="34"/>
    </row>
    <row r="45" spans="1:20" ht="19.5" thickBot="1" x14ac:dyDescent="0.35">
      <c r="A45" s="58" t="s">
        <v>4</v>
      </c>
      <c r="B45" s="59"/>
      <c r="C45" s="59"/>
      <c r="D45" s="43">
        <f>SUM(D46:D52)</f>
        <v>12659.929999999998</v>
      </c>
      <c r="E45" s="44"/>
    </row>
    <row r="46" spans="1:20" ht="15.75" x14ac:dyDescent="0.25">
      <c r="A46" s="45" t="s">
        <v>78</v>
      </c>
      <c r="D46" s="46">
        <v>4488.37</v>
      </c>
      <c r="E46" s="34"/>
    </row>
    <row r="47" spans="1:20" ht="15.75" x14ac:dyDescent="0.25">
      <c r="A47" s="45" t="s">
        <v>79</v>
      </c>
      <c r="D47" s="46">
        <v>6000</v>
      </c>
      <c r="E47" s="34"/>
    </row>
    <row r="48" spans="1:20" ht="15.75" x14ac:dyDescent="0.25">
      <c r="A48" s="45" t="s">
        <v>80</v>
      </c>
      <c r="D48" s="46">
        <v>2171.56</v>
      </c>
      <c r="E48" s="34"/>
    </row>
    <row r="49" spans="1:5" x14ac:dyDescent="0.25">
      <c r="D49" s="46"/>
      <c r="E49" s="34"/>
    </row>
    <row r="50" spans="1:5" ht="15.75" hidden="1" x14ac:dyDescent="0.25">
      <c r="A50" s="45"/>
      <c r="D50" s="46"/>
      <c r="E50" s="34"/>
    </row>
    <row r="51" spans="1:5" ht="15.75" hidden="1" x14ac:dyDescent="0.25">
      <c r="A51" s="45"/>
      <c r="D51" s="46"/>
      <c r="E51" s="34"/>
    </row>
    <row r="52" spans="1:5" ht="15.75" hidden="1" x14ac:dyDescent="0.25">
      <c r="A52" s="45"/>
      <c r="D52" s="46"/>
      <c r="E52" s="34"/>
    </row>
    <row r="53" spans="1:5" ht="16.5" thickBot="1" x14ac:dyDescent="0.3">
      <c r="A53" s="45"/>
      <c r="D53" s="34"/>
      <c r="E53" s="34"/>
    </row>
    <row r="54" spans="1:5" ht="19.5" thickBot="1" x14ac:dyDescent="0.35">
      <c r="A54" s="58" t="s">
        <v>5</v>
      </c>
      <c r="B54" s="59"/>
      <c r="C54" s="59"/>
      <c r="D54" s="47">
        <f>SUM(D55:D92)</f>
        <v>428488.3299999999</v>
      </c>
      <c r="E54" s="34"/>
    </row>
    <row r="55" spans="1:5" x14ac:dyDescent="0.25">
      <c r="A55" s="35">
        <v>1</v>
      </c>
      <c r="B55" s="36" t="s">
        <v>30</v>
      </c>
      <c r="D55" s="26"/>
    </row>
    <row r="56" spans="1:5" x14ac:dyDescent="0.25">
      <c r="A56" s="37"/>
      <c r="B56" s="38" t="s">
        <v>31</v>
      </c>
      <c r="C56" s="34"/>
      <c r="D56" s="39">
        <v>200951.73</v>
      </c>
    </row>
    <row r="57" spans="1:5" x14ac:dyDescent="0.25">
      <c r="A57" s="37"/>
      <c r="B57" s="38" t="s">
        <v>32</v>
      </c>
      <c r="C57" s="34"/>
      <c r="D57" s="39">
        <v>3718.33</v>
      </c>
    </row>
    <row r="58" spans="1:5" x14ac:dyDescent="0.25">
      <c r="A58" s="37"/>
      <c r="B58" s="38" t="s">
        <v>62</v>
      </c>
      <c r="C58" s="34"/>
      <c r="D58" s="39">
        <v>11</v>
      </c>
    </row>
    <row r="59" spans="1:5" x14ac:dyDescent="0.25">
      <c r="A59" s="37"/>
      <c r="B59" s="51" t="s">
        <v>81</v>
      </c>
      <c r="C59" s="34"/>
      <c r="D59" s="39">
        <v>3823</v>
      </c>
    </row>
    <row r="60" spans="1:5" x14ac:dyDescent="0.25">
      <c r="A60" s="37"/>
      <c r="B60" s="38" t="s">
        <v>33</v>
      </c>
      <c r="C60" s="34"/>
      <c r="D60" s="39">
        <v>1856.61</v>
      </c>
    </row>
    <row r="61" spans="1:5" x14ac:dyDescent="0.25">
      <c r="A61" s="37"/>
      <c r="B61" s="38" t="s">
        <v>63</v>
      </c>
      <c r="C61" s="34"/>
      <c r="D61" s="39">
        <v>4600.6099999999997</v>
      </c>
    </row>
    <row r="62" spans="1:5" x14ac:dyDescent="0.25">
      <c r="A62" s="37"/>
      <c r="B62" s="38" t="s">
        <v>34</v>
      </c>
      <c r="C62" s="34"/>
      <c r="D62" s="39">
        <v>1113.43</v>
      </c>
    </row>
    <row r="63" spans="1:5" x14ac:dyDescent="0.25">
      <c r="A63" s="37"/>
      <c r="B63" s="38" t="s">
        <v>58</v>
      </c>
      <c r="C63" s="34"/>
      <c r="D63" s="39">
        <v>22197.62</v>
      </c>
    </row>
    <row r="64" spans="1:5" x14ac:dyDescent="0.25">
      <c r="A64" s="37"/>
      <c r="B64" s="38" t="s">
        <v>35</v>
      </c>
      <c r="C64" s="34"/>
      <c r="D64" s="39">
        <v>6140.59</v>
      </c>
    </row>
    <row r="65" spans="1:5" x14ac:dyDescent="0.25">
      <c r="A65" s="37"/>
      <c r="B65" s="38" t="s">
        <v>36</v>
      </c>
      <c r="C65" s="34"/>
      <c r="D65" s="39">
        <v>85.38</v>
      </c>
    </row>
    <row r="66" spans="1:5" x14ac:dyDescent="0.25">
      <c r="A66" s="37"/>
      <c r="B66" s="38" t="s">
        <v>37</v>
      </c>
      <c r="C66" s="34"/>
      <c r="D66" s="39">
        <v>260.27</v>
      </c>
    </row>
    <row r="67" spans="1:5" x14ac:dyDescent="0.25">
      <c r="A67" s="37"/>
      <c r="B67" s="38" t="s">
        <v>38</v>
      </c>
      <c r="C67" s="34"/>
      <c r="D67" s="39">
        <v>428.86</v>
      </c>
    </row>
    <row r="68" spans="1:5" x14ac:dyDescent="0.25">
      <c r="A68" s="37"/>
      <c r="B68" s="51" t="s">
        <v>39</v>
      </c>
      <c r="C68" s="34"/>
      <c r="D68" s="39">
        <v>4097.29</v>
      </c>
    </row>
    <row r="69" spans="1:5" x14ac:dyDescent="0.25">
      <c r="A69" s="37"/>
      <c r="B69" s="38" t="s">
        <v>40</v>
      </c>
      <c r="C69" s="34"/>
      <c r="D69" s="39">
        <v>1860.14</v>
      </c>
    </row>
    <row r="70" spans="1:5" x14ac:dyDescent="0.25">
      <c r="A70" s="37"/>
      <c r="B70" s="38" t="s">
        <v>41</v>
      </c>
      <c r="C70" s="34"/>
      <c r="D70" s="39">
        <v>61.46</v>
      </c>
    </row>
    <row r="71" spans="1:5" x14ac:dyDescent="0.25">
      <c r="A71" s="37"/>
      <c r="B71" s="51" t="s">
        <v>59</v>
      </c>
      <c r="C71" s="34"/>
      <c r="D71" s="39">
        <v>428.86</v>
      </c>
    </row>
    <row r="72" spans="1:5" x14ac:dyDescent="0.25">
      <c r="A72" s="37"/>
      <c r="B72" s="38" t="s">
        <v>42</v>
      </c>
      <c r="C72" s="34"/>
      <c r="D72" s="39">
        <v>251.24</v>
      </c>
    </row>
    <row r="73" spans="1:5" x14ac:dyDescent="0.25">
      <c r="A73" s="37"/>
      <c r="B73" s="38" t="s">
        <v>43</v>
      </c>
      <c r="C73" s="34"/>
      <c r="D73" s="39">
        <v>91.49</v>
      </c>
      <c r="E73" s="26"/>
    </row>
    <row r="74" spans="1:5" x14ac:dyDescent="0.25">
      <c r="A74" s="37"/>
      <c r="B74" s="38" t="s">
        <v>44</v>
      </c>
      <c r="C74" s="34"/>
      <c r="D74" s="39">
        <v>9846.7900000000009</v>
      </c>
    </row>
    <row r="75" spans="1:5" x14ac:dyDescent="0.25">
      <c r="A75" s="37"/>
      <c r="B75" s="38" t="s">
        <v>45</v>
      </c>
      <c r="C75" s="34"/>
      <c r="D75" s="39">
        <v>13.81</v>
      </c>
    </row>
    <row r="76" spans="1:5" x14ac:dyDescent="0.25">
      <c r="A76" s="37"/>
      <c r="B76" s="38" t="s">
        <v>46</v>
      </c>
      <c r="C76" s="34"/>
      <c r="D76" s="39">
        <v>2058.5500000000002</v>
      </c>
    </row>
    <row r="77" spans="1:5" x14ac:dyDescent="0.25">
      <c r="A77" s="37"/>
      <c r="B77" s="38"/>
      <c r="C77" s="34"/>
      <c r="D77" s="34"/>
    </row>
    <row r="78" spans="1:5" x14ac:dyDescent="0.25">
      <c r="A78" s="37"/>
      <c r="B78" s="48"/>
      <c r="C78" s="34"/>
      <c r="D78" s="34"/>
    </row>
    <row r="79" spans="1:5" x14ac:dyDescent="0.25">
      <c r="A79" s="35" t="s">
        <v>48</v>
      </c>
      <c r="B79" s="36" t="s">
        <v>49</v>
      </c>
      <c r="C79" s="34"/>
      <c r="D79" s="26"/>
    </row>
    <row r="80" spans="1:5" ht="30" x14ac:dyDescent="0.25">
      <c r="A80" s="36"/>
      <c r="B80" s="38" t="s">
        <v>50</v>
      </c>
      <c r="C80" s="34"/>
      <c r="D80" s="26">
        <v>99307.1</v>
      </c>
    </row>
    <row r="81" spans="1:4" ht="30" x14ac:dyDescent="0.25">
      <c r="B81" s="38" t="s">
        <v>47</v>
      </c>
      <c r="C81" s="34"/>
      <c r="D81" s="34">
        <v>10359.27</v>
      </c>
    </row>
    <row r="82" spans="1:4" ht="50.25" customHeight="1" x14ac:dyDescent="0.25">
      <c r="B82" s="60" t="s">
        <v>51</v>
      </c>
      <c r="C82" s="60"/>
      <c r="D82" s="34">
        <v>291.66000000000003</v>
      </c>
    </row>
    <row r="83" spans="1:4" ht="30" x14ac:dyDescent="0.25">
      <c r="B83" s="38" t="s">
        <v>52</v>
      </c>
      <c r="C83" s="34"/>
      <c r="D83" s="34">
        <v>3000</v>
      </c>
    </row>
    <row r="84" spans="1:4" ht="30" hidden="1" x14ac:dyDescent="0.25">
      <c r="B84" s="38" t="s">
        <v>53</v>
      </c>
      <c r="C84" s="34"/>
      <c r="D84" s="34"/>
    </row>
    <row r="85" spans="1:4" x14ac:dyDescent="0.25">
      <c r="B85" s="38" t="s">
        <v>54</v>
      </c>
      <c r="C85" s="34"/>
      <c r="D85" s="34">
        <v>1656</v>
      </c>
    </row>
    <row r="86" spans="1:4" x14ac:dyDescent="0.25">
      <c r="B86" s="38" t="s">
        <v>75</v>
      </c>
      <c r="C86" s="34"/>
      <c r="D86" s="34">
        <v>2400</v>
      </c>
    </row>
    <row r="87" spans="1:4" hidden="1" x14ac:dyDescent="0.25">
      <c r="B87" t="s">
        <v>55</v>
      </c>
      <c r="C87" s="34"/>
      <c r="D87" s="34"/>
    </row>
    <row r="88" spans="1:4" hidden="1" x14ac:dyDescent="0.25">
      <c r="B88" s="38" t="s">
        <v>64</v>
      </c>
      <c r="C88" s="34"/>
      <c r="D88" s="34"/>
    </row>
    <row r="89" spans="1:4" ht="30" hidden="1" x14ac:dyDescent="0.25">
      <c r="B89" s="38" t="s">
        <v>65</v>
      </c>
      <c r="C89" s="34"/>
      <c r="D89" s="34"/>
    </row>
    <row r="90" spans="1:4" x14ac:dyDescent="0.25">
      <c r="B90" t="s">
        <v>56</v>
      </c>
      <c r="C90" s="34"/>
      <c r="D90" s="34">
        <v>22756.74</v>
      </c>
    </row>
    <row r="91" spans="1:4" x14ac:dyDescent="0.25">
      <c r="B91" s="38" t="s">
        <v>73</v>
      </c>
      <c r="C91" s="34"/>
      <c r="D91" s="34">
        <v>4820.5</v>
      </c>
    </row>
    <row r="92" spans="1:4" ht="30" x14ac:dyDescent="0.25">
      <c r="B92" s="38" t="s">
        <v>74</v>
      </c>
      <c r="C92" s="34"/>
      <c r="D92" s="34">
        <v>20000</v>
      </c>
    </row>
    <row r="93" spans="1:4" ht="15.75" thickBot="1" x14ac:dyDescent="0.3">
      <c r="C93" s="34"/>
      <c r="D93" s="34"/>
    </row>
    <row r="94" spans="1:4" ht="19.5" thickBot="1" x14ac:dyDescent="0.35">
      <c r="A94" s="58" t="s">
        <v>6</v>
      </c>
      <c r="B94" s="59"/>
      <c r="C94" s="59"/>
      <c r="D94" s="49">
        <f>SUM(D95:D101)</f>
        <v>113065.79000000001</v>
      </c>
    </row>
    <row r="95" spans="1:4" x14ac:dyDescent="0.25">
      <c r="A95" t="s">
        <v>66</v>
      </c>
      <c r="C95" s="34"/>
      <c r="D95" s="34">
        <v>86105.88</v>
      </c>
    </row>
    <row r="96" spans="1:4" x14ac:dyDescent="0.25">
      <c r="A96" t="s">
        <v>67</v>
      </c>
      <c r="C96" s="34"/>
      <c r="D96" s="34">
        <v>97.21</v>
      </c>
    </row>
    <row r="97" spans="1:5" x14ac:dyDescent="0.25">
      <c r="A97" t="s">
        <v>76</v>
      </c>
      <c r="C97" s="34"/>
      <c r="D97" s="34">
        <v>3051.61</v>
      </c>
    </row>
    <row r="98" spans="1:5" x14ac:dyDescent="0.25">
      <c r="A98" t="s">
        <v>68</v>
      </c>
      <c r="C98" s="34"/>
      <c r="D98" s="34">
        <v>1015.77</v>
      </c>
    </row>
    <row r="99" spans="1:5" x14ac:dyDescent="0.25">
      <c r="A99" t="s">
        <v>77</v>
      </c>
      <c r="C99" s="34"/>
      <c r="D99" s="34">
        <v>22795.32</v>
      </c>
    </row>
    <row r="100" spans="1:5" ht="15.75" thickBot="1" x14ac:dyDescent="0.3">
      <c r="C100" s="34"/>
      <c r="D100" s="34"/>
    </row>
    <row r="101" spans="1:5" ht="15.75" hidden="1" thickBot="1" x14ac:dyDescent="0.3">
      <c r="A101" s="37"/>
      <c r="B101" s="38"/>
      <c r="C101" s="34"/>
      <c r="D101" s="34"/>
    </row>
    <row r="102" spans="1:5" ht="15.75" thickBot="1" x14ac:dyDescent="0.3">
      <c r="A102" s="50" t="s">
        <v>7</v>
      </c>
      <c r="B102" s="40"/>
      <c r="C102" s="41"/>
      <c r="D102" s="49">
        <v>18313.78</v>
      </c>
    </row>
    <row r="103" spans="1:5" x14ac:dyDescent="0.25">
      <c r="A103" s="37"/>
      <c r="B103" s="38"/>
      <c r="C103" s="34"/>
      <c r="D103" s="34"/>
    </row>
    <row r="104" spans="1:5" hidden="1" x14ac:dyDescent="0.25">
      <c r="A104" s="37"/>
      <c r="B104" s="38"/>
      <c r="C104" s="34"/>
      <c r="D104" s="34"/>
    </row>
    <row r="105" spans="1:5" ht="15.75" hidden="1" thickBot="1" x14ac:dyDescent="0.3">
      <c r="A105" s="37"/>
      <c r="B105" s="38"/>
      <c r="C105" s="34"/>
      <c r="D105" s="34"/>
    </row>
    <row r="106" spans="1:5" ht="15.75" hidden="1" thickBot="1" x14ac:dyDescent="0.3">
      <c r="A106" s="50" t="s">
        <v>8</v>
      </c>
      <c r="B106" s="40"/>
      <c r="C106" s="41"/>
      <c r="D106" s="49">
        <f>D107+D108+D109</f>
        <v>0</v>
      </c>
    </row>
    <row r="107" spans="1:5" hidden="1" x14ac:dyDescent="0.25">
      <c r="A107" s="37" t="s">
        <v>60</v>
      </c>
      <c r="B107" s="38"/>
      <c r="C107" s="34"/>
      <c r="D107" s="34"/>
    </row>
    <row r="108" spans="1:5" hidden="1" x14ac:dyDescent="0.25">
      <c r="A108" s="37" t="s">
        <v>69</v>
      </c>
      <c r="B108" s="38"/>
      <c r="C108" s="34"/>
      <c r="D108" s="34"/>
    </row>
    <row r="109" spans="1:5" hidden="1" x14ac:dyDescent="0.25">
      <c r="A109" s="37" t="s">
        <v>70</v>
      </c>
      <c r="B109" s="38"/>
      <c r="C109" s="34"/>
      <c r="D109" s="34"/>
    </row>
    <row r="110" spans="1:5" ht="15.75" hidden="1" thickBot="1" x14ac:dyDescent="0.3">
      <c r="A110" s="37"/>
      <c r="B110" s="38"/>
      <c r="C110" s="34"/>
      <c r="D110" s="34"/>
    </row>
    <row r="111" spans="1:5" ht="15.75" hidden="1" thickBot="1" x14ac:dyDescent="0.3">
      <c r="A111" s="50" t="s">
        <v>9</v>
      </c>
      <c r="B111" s="40"/>
      <c r="C111" s="41"/>
      <c r="D111" s="49"/>
    </row>
    <row r="112" spans="1:5" hidden="1" x14ac:dyDescent="0.25">
      <c r="A112" s="37" t="s">
        <v>71</v>
      </c>
      <c r="B112" s="38"/>
      <c r="C112" s="34"/>
      <c r="D112" s="34"/>
      <c r="E112" s="26"/>
    </row>
    <row r="113" spans="1:4" hidden="1" x14ac:dyDescent="0.25">
      <c r="A113" s="37" t="s">
        <v>72</v>
      </c>
      <c r="B113" s="38"/>
      <c r="C113" s="34"/>
      <c r="D113" s="34"/>
    </row>
    <row r="114" spans="1:4" ht="15.75" hidden="1" thickBot="1" x14ac:dyDescent="0.3">
      <c r="A114" s="37"/>
      <c r="B114" s="38"/>
      <c r="C114" s="34"/>
      <c r="D114" s="34"/>
    </row>
    <row r="115" spans="1:4" ht="15.75" hidden="1" thickBot="1" x14ac:dyDescent="0.3">
      <c r="A115" s="50" t="s">
        <v>10</v>
      </c>
      <c r="B115" s="40"/>
      <c r="C115" s="41"/>
      <c r="D115" s="49"/>
    </row>
    <row r="116" spans="1:4" hidden="1" x14ac:dyDescent="0.25">
      <c r="A116" s="37"/>
      <c r="B116" s="38"/>
      <c r="C116" s="34"/>
      <c r="D116" s="34"/>
    </row>
    <row r="117" spans="1:4" hidden="1" x14ac:dyDescent="0.25">
      <c r="A117" s="37"/>
      <c r="B117" s="48"/>
      <c r="C117" s="34"/>
      <c r="D117" s="34"/>
    </row>
    <row r="118" spans="1:4" ht="15.75" hidden="1" thickBot="1" x14ac:dyDescent="0.3">
      <c r="A118" s="35"/>
      <c r="B118" s="36"/>
      <c r="C118" s="34"/>
      <c r="D118" s="26"/>
    </row>
    <row r="119" spans="1:4" ht="15.75" hidden="1" thickBot="1" x14ac:dyDescent="0.3">
      <c r="A119" s="50" t="s">
        <v>11</v>
      </c>
      <c r="B119" s="40"/>
      <c r="C119" s="41"/>
      <c r="D119" s="49"/>
    </row>
    <row r="120" spans="1:4" hidden="1" x14ac:dyDescent="0.25">
      <c r="B120" s="38"/>
      <c r="C120" s="34"/>
      <c r="D120" s="34"/>
    </row>
    <row r="121" spans="1:4" hidden="1" x14ac:dyDescent="0.25">
      <c r="B121" s="38"/>
      <c r="C121" s="34"/>
      <c r="D121" s="34"/>
    </row>
    <row r="122" spans="1:4" hidden="1" x14ac:dyDescent="0.25">
      <c r="B122" s="38"/>
      <c r="C122" s="34"/>
      <c r="D122" s="34"/>
    </row>
    <row r="123" spans="1:4" ht="15.75" hidden="1" thickBot="1" x14ac:dyDescent="0.3">
      <c r="B123" s="38"/>
      <c r="C123" s="34"/>
      <c r="D123" s="34"/>
    </row>
    <row r="124" spans="1:4" ht="15.75" hidden="1" thickBot="1" x14ac:dyDescent="0.3">
      <c r="A124" s="50" t="s">
        <v>12</v>
      </c>
      <c r="B124" s="40"/>
      <c r="C124" s="41"/>
      <c r="D124" s="49"/>
    </row>
    <row r="125" spans="1:4" hidden="1" x14ac:dyDescent="0.25">
      <c r="B125" s="38"/>
      <c r="C125" s="34"/>
      <c r="D125" s="34"/>
    </row>
    <row r="126" spans="1:4" hidden="1" x14ac:dyDescent="0.25">
      <c r="C126" s="34"/>
      <c r="D126" s="34"/>
    </row>
    <row r="127" spans="1:4" hidden="1" x14ac:dyDescent="0.25">
      <c r="B127" s="38"/>
      <c r="C127" s="34"/>
      <c r="D127" s="34"/>
    </row>
    <row r="128" spans="1:4" hidden="1" x14ac:dyDescent="0.25">
      <c r="B128" s="38"/>
      <c r="C128" s="34"/>
      <c r="D128" s="34"/>
    </row>
    <row r="129" spans="1:4" hidden="1" x14ac:dyDescent="0.25">
      <c r="C129" s="34"/>
      <c r="D129" s="34"/>
    </row>
    <row r="130" spans="1:4" hidden="1" x14ac:dyDescent="0.25">
      <c r="C130" s="34"/>
      <c r="D130" s="34"/>
    </row>
    <row r="131" spans="1:4" hidden="1" x14ac:dyDescent="0.25">
      <c r="C131" s="34"/>
      <c r="D131" s="34"/>
    </row>
    <row r="132" spans="1:4" hidden="1" x14ac:dyDescent="0.25">
      <c r="C132" s="34"/>
      <c r="D132" s="34"/>
    </row>
    <row r="133" spans="1:4" hidden="1" x14ac:dyDescent="0.25">
      <c r="C133" s="34"/>
      <c r="D133" s="26"/>
    </row>
    <row r="134" spans="1:4" hidden="1" x14ac:dyDescent="0.25">
      <c r="C134" s="34"/>
      <c r="D134" s="34"/>
    </row>
    <row r="135" spans="1:4" ht="15.75" thickBot="1" x14ac:dyDescent="0.3">
      <c r="C135" s="34"/>
      <c r="D135" s="34"/>
    </row>
    <row r="136" spans="1:4" ht="15.75" thickBot="1" x14ac:dyDescent="0.3">
      <c r="A136" s="50" t="s">
        <v>13</v>
      </c>
      <c r="B136" s="40"/>
      <c r="C136" s="41"/>
      <c r="D136" s="49"/>
    </row>
    <row r="137" spans="1:4" x14ac:dyDescent="0.25">
      <c r="A137" s="56"/>
      <c r="B137" s="56"/>
      <c r="C137" s="56"/>
      <c r="D137" s="26"/>
    </row>
    <row r="138" spans="1:4" x14ac:dyDescent="0.25">
      <c r="B138" s="38"/>
      <c r="C138" s="34"/>
      <c r="D138" s="34"/>
    </row>
    <row r="139" spans="1:4" ht="15.75" thickBot="1" x14ac:dyDescent="0.3">
      <c r="B139" s="38"/>
      <c r="C139" s="34"/>
      <c r="D139" s="34"/>
    </row>
    <row r="140" spans="1:4" ht="15.75" thickBot="1" x14ac:dyDescent="0.3">
      <c r="A140" s="50" t="s">
        <v>14</v>
      </c>
      <c r="B140" s="40"/>
      <c r="C140" s="41"/>
      <c r="D140" s="49">
        <v>745636.13</v>
      </c>
    </row>
    <row r="141" spans="1:4" x14ac:dyDescent="0.25">
      <c r="B141" s="38"/>
      <c r="C141" s="34"/>
      <c r="D141" s="34"/>
    </row>
    <row r="142" spans="1:4" x14ac:dyDescent="0.25">
      <c r="B142" s="38"/>
      <c r="C142" s="34"/>
      <c r="D142" s="34"/>
    </row>
    <row r="143" spans="1:4" ht="15.75" thickBot="1" x14ac:dyDescent="0.3">
      <c r="B143" s="38"/>
      <c r="C143" s="34"/>
      <c r="D143" s="34"/>
    </row>
    <row r="144" spans="1:4" ht="15.75" thickBot="1" x14ac:dyDescent="0.3">
      <c r="A144" s="50" t="s">
        <v>15</v>
      </c>
      <c r="B144" s="40"/>
      <c r="C144" s="41"/>
      <c r="D144" s="49">
        <v>120817.96</v>
      </c>
    </row>
    <row r="145" spans="1:4" x14ac:dyDescent="0.25">
      <c r="C145" s="34"/>
      <c r="D145" s="34"/>
    </row>
    <row r="146" spans="1:4" x14ac:dyDescent="0.25">
      <c r="C146" s="34"/>
      <c r="D146" s="34"/>
    </row>
    <row r="147" spans="1:4" ht="15.75" thickBot="1" x14ac:dyDescent="0.3">
      <c r="A147" s="56"/>
      <c r="B147" s="56"/>
      <c r="C147" s="56"/>
      <c r="D147" s="26"/>
    </row>
    <row r="148" spans="1:4" ht="15.75" thickBot="1" x14ac:dyDescent="0.3">
      <c r="A148" s="50" t="s">
        <v>16</v>
      </c>
      <c r="B148" s="40"/>
      <c r="C148" s="41"/>
      <c r="D148" s="49">
        <v>99192</v>
      </c>
    </row>
    <row r="149" spans="1:4" x14ac:dyDescent="0.25">
      <c r="C149" s="34"/>
      <c r="D149" s="34"/>
    </row>
    <row r="150" spans="1:4" x14ac:dyDescent="0.25">
      <c r="C150" s="34"/>
      <c r="D150" s="34"/>
    </row>
    <row r="151" spans="1:4" ht="15.75" thickBot="1" x14ac:dyDescent="0.3">
      <c r="A151" s="56"/>
      <c r="B151" s="56"/>
      <c r="C151" s="56"/>
      <c r="D151" s="26"/>
    </row>
    <row r="152" spans="1:4" ht="15.75" thickBot="1" x14ac:dyDescent="0.3">
      <c r="A152" s="50" t="s">
        <v>17</v>
      </c>
      <c r="B152" s="40"/>
      <c r="C152" s="41"/>
      <c r="D152" s="49">
        <v>171771.31</v>
      </c>
    </row>
    <row r="153" spans="1:4" x14ac:dyDescent="0.25">
      <c r="C153" s="34"/>
      <c r="D153" s="34"/>
    </row>
    <row r="154" spans="1:4" x14ac:dyDescent="0.25">
      <c r="C154" s="34"/>
      <c r="D154" s="34"/>
    </row>
    <row r="155" spans="1:4" ht="15.75" thickBot="1" x14ac:dyDescent="0.3">
      <c r="A155" s="56"/>
      <c r="B155" s="56"/>
      <c r="C155" s="56"/>
      <c r="D155" s="26"/>
    </row>
    <row r="156" spans="1:4" ht="15.75" thickBot="1" x14ac:dyDescent="0.3">
      <c r="A156" s="50" t="s">
        <v>18</v>
      </c>
      <c r="B156" s="40"/>
      <c r="C156" s="41"/>
      <c r="D156" s="49">
        <v>26956.34</v>
      </c>
    </row>
    <row r="157" spans="1:4" x14ac:dyDescent="0.25">
      <c r="C157" s="34"/>
      <c r="D157" s="34"/>
    </row>
    <row r="158" spans="1:4" x14ac:dyDescent="0.25">
      <c r="C158" s="34"/>
      <c r="D158" s="34"/>
    </row>
    <row r="159" spans="1:4" ht="15.75" thickBot="1" x14ac:dyDescent="0.3">
      <c r="A159" s="56"/>
      <c r="B159" s="56"/>
      <c r="C159" s="56"/>
      <c r="D159" s="26"/>
    </row>
    <row r="160" spans="1:4" ht="15.75" thickBot="1" x14ac:dyDescent="0.3">
      <c r="A160" s="50" t="s">
        <v>19</v>
      </c>
      <c r="B160" s="40"/>
      <c r="C160" s="41"/>
      <c r="D160" s="49">
        <v>315214.06</v>
      </c>
    </row>
    <row r="161" spans="1:4" x14ac:dyDescent="0.25">
      <c r="C161" s="34"/>
      <c r="D161" s="34"/>
    </row>
    <row r="162" spans="1:4" hidden="1" x14ac:dyDescent="0.25">
      <c r="C162" s="34"/>
      <c r="D162" s="34"/>
    </row>
    <row r="163" spans="1:4" ht="15.75" hidden="1" thickBot="1" x14ac:dyDescent="0.3">
      <c r="A163" s="56"/>
      <c r="B163" s="56"/>
      <c r="C163" s="56"/>
      <c r="D163" s="26"/>
    </row>
    <row r="164" spans="1:4" ht="15.75" hidden="1" thickBot="1" x14ac:dyDescent="0.3">
      <c r="A164" s="50" t="s">
        <v>20</v>
      </c>
      <c r="B164" s="40"/>
      <c r="C164" s="41"/>
      <c r="D164" s="49"/>
    </row>
    <row r="165" spans="1:4" x14ac:dyDescent="0.25">
      <c r="C165" s="34"/>
      <c r="D165" s="34"/>
    </row>
    <row r="166" spans="1:4" x14ac:dyDescent="0.25">
      <c r="C166" s="34"/>
      <c r="D166" s="34"/>
    </row>
    <row r="167" spans="1:4" x14ac:dyDescent="0.25">
      <c r="A167" s="56"/>
      <c r="B167" s="56"/>
      <c r="C167" s="56"/>
      <c r="D167" s="26"/>
    </row>
    <row r="168" spans="1:4" x14ac:dyDescent="0.25">
      <c r="C168" s="34"/>
      <c r="D168" s="34"/>
    </row>
    <row r="169" spans="1:4" x14ac:dyDescent="0.25">
      <c r="C169" t="s">
        <v>83</v>
      </c>
    </row>
    <row r="171" spans="1:4" x14ac:dyDescent="0.25">
      <c r="C171" t="s">
        <v>84</v>
      </c>
    </row>
  </sheetData>
  <mergeCells count="12">
    <mergeCell ref="A167:C167"/>
    <mergeCell ref="A151:C151"/>
    <mergeCell ref="A155:C155"/>
    <mergeCell ref="A159:C159"/>
    <mergeCell ref="A163:C163"/>
    <mergeCell ref="A137:C137"/>
    <mergeCell ref="A147:C147"/>
    <mergeCell ref="A38:B38"/>
    <mergeCell ref="A45:C45"/>
    <mergeCell ref="A54:C54"/>
    <mergeCell ref="A94:C94"/>
    <mergeCell ref="B82:C82"/>
  </mergeCells>
  <pageMargins left="0.51181102362204722" right="0.51181102362204722" top="0.94488188976377963" bottom="0.74803149606299213" header="0.31496062992125984" footer="0.31496062992125984"/>
  <pageSetup paperSize="9" scale="49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Ив.69_1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2019-03-27T14:25:40Z</dcterms:modified>
</cp:coreProperties>
</file>