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D51F453B-DC71-425C-AB24-CEF013989A9B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Ив.92" sheetId="5" r:id="rId1"/>
  </sheets>
  <definedNames>
    <definedName name="_xlnm.Print_Area" localSheetId="0">Ив.92!$A$1:$T$167</definedName>
  </definedNames>
  <calcPr calcId="181029"/>
</workbook>
</file>

<file path=xl/calcChain.xml><?xml version="1.0" encoding="utf-8"?>
<calcChain xmlns="http://schemas.openxmlformats.org/spreadsheetml/2006/main">
  <c r="E5" i="5" l="1"/>
  <c r="T5" i="5" l="1"/>
  <c r="C5" i="5"/>
  <c r="M5" i="5"/>
  <c r="M34" i="5" l="1"/>
  <c r="D111" i="5" l="1"/>
  <c r="D106" i="5"/>
  <c r="D94" i="5"/>
  <c r="D90" i="5"/>
  <c r="D64" i="5"/>
  <c r="D73" i="5"/>
  <c r="D62" i="5"/>
  <c r="D63" i="5"/>
  <c r="D66" i="5"/>
  <c r="D164" i="5"/>
  <c r="D49" i="5"/>
  <c r="D54" i="5" l="1"/>
  <c r="D45" i="5"/>
  <c r="D39" i="5" s="1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D43" i="5" l="1"/>
  <c r="D44" i="5" s="1"/>
  <c r="E39" i="5" s="1"/>
  <c r="C37" i="5"/>
  <c r="T31" i="5"/>
  <c r="M31" i="5"/>
  <c r="L31" i="5"/>
  <c r="J31" i="5"/>
  <c r="T30" i="5"/>
  <c r="M30" i="5"/>
  <c r="L30" i="5"/>
  <c r="J30" i="5"/>
  <c r="T29" i="5"/>
  <c r="M29" i="5"/>
  <c r="E29" i="5"/>
  <c r="M28" i="5"/>
  <c r="C28" i="5"/>
  <c r="M27" i="5"/>
  <c r="E27" i="5"/>
  <c r="C27" i="5" s="1"/>
  <c r="E26" i="5"/>
  <c r="C26" i="5"/>
  <c r="T25" i="5"/>
  <c r="E25" i="5"/>
  <c r="T24" i="5"/>
  <c r="E24" i="5"/>
  <c r="C24" i="5" s="1"/>
  <c r="T23" i="5"/>
  <c r="E23" i="5"/>
  <c r="C23" i="5" s="1"/>
  <c r="T22" i="5"/>
  <c r="E22" i="5"/>
  <c r="C22" i="5" s="1"/>
  <c r="T21" i="5"/>
  <c r="E21" i="5"/>
  <c r="T20" i="5"/>
  <c r="T19" i="5" s="1"/>
  <c r="E20" i="5"/>
  <c r="S19" i="5"/>
  <c r="R19" i="5"/>
  <c r="Q19" i="5"/>
  <c r="P19" i="5"/>
  <c r="O19" i="5"/>
  <c r="N19" i="5"/>
  <c r="L19" i="5"/>
  <c r="K19" i="5"/>
  <c r="I19" i="5"/>
  <c r="H19" i="5"/>
  <c r="G19" i="5"/>
  <c r="F19" i="5"/>
  <c r="D19" i="5"/>
  <c r="T18" i="5"/>
  <c r="M18" i="5"/>
  <c r="L18" i="5"/>
  <c r="J18" i="5"/>
  <c r="T17" i="5"/>
  <c r="M17" i="5"/>
  <c r="L17" i="5"/>
  <c r="J17" i="5"/>
  <c r="T16" i="5"/>
  <c r="M16" i="5"/>
  <c r="T15" i="5"/>
  <c r="M15" i="5"/>
  <c r="C15" i="5"/>
  <c r="T14" i="5"/>
  <c r="M14" i="5"/>
  <c r="T13" i="5"/>
  <c r="C13" i="5" s="1"/>
  <c r="C12" i="5"/>
  <c r="T11" i="5"/>
  <c r="C11" i="5"/>
  <c r="T10" i="5"/>
  <c r="C10" i="5" s="1"/>
  <c r="T9" i="5"/>
  <c r="C9" i="5" s="1"/>
  <c r="T8" i="5"/>
  <c r="C8" i="5" s="1"/>
  <c r="T7" i="5"/>
  <c r="E7" i="5"/>
  <c r="S6" i="5"/>
  <c r="R6" i="5"/>
  <c r="R38" i="5" s="1"/>
  <c r="R40" i="5" s="1"/>
  <c r="Q6" i="5"/>
  <c r="P6" i="5"/>
  <c r="P32" i="5" s="1"/>
  <c r="O6" i="5"/>
  <c r="N6" i="5"/>
  <c r="N38" i="5" s="1"/>
  <c r="N40" i="5" s="1"/>
  <c r="K6" i="5"/>
  <c r="K32" i="5" s="1"/>
  <c r="J6" i="5"/>
  <c r="J38" i="5" s="1"/>
  <c r="J40" i="5" s="1"/>
  <c r="I6" i="5"/>
  <c r="H6" i="5"/>
  <c r="G6" i="5"/>
  <c r="G32" i="5" s="1"/>
  <c r="F6" i="5"/>
  <c r="F38" i="5" s="1"/>
  <c r="F40" i="5" s="1"/>
  <c r="D6" i="5"/>
  <c r="C7" i="5" l="1"/>
  <c r="C31" i="5"/>
  <c r="C39" i="5"/>
  <c r="Q32" i="5"/>
  <c r="C17" i="5"/>
  <c r="C30" i="5"/>
  <c r="T6" i="5"/>
  <c r="T38" i="5" s="1"/>
  <c r="T40" i="5" s="1"/>
  <c r="C18" i="5"/>
  <c r="H32" i="5"/>
  <c r="L6" i="5"/>
  <c r="L32" i="5" s="1"/>
  <c r="J19" i="5"/>
  <c r="J32" i="5" s="1"/>
  <c r="C21" i="5"/>
  <c r="C29" i="5"/>
  <c r="D32" i="5"/>
  <c r="I32" i="5"/>
  <c r="O32" i="5"/>
  <c r="S32" i="5"/>
  <c r="C14" i="5"/>
  <c r="C16" i="5"/>
  <c r="C20" i="5"/>
  <c r="C25" i="5"/>
  <c r="M19" i="5"/>
  <c r="T32" i="5"/>
  <c r="L38" i="5"/>
  <c r="L40" i="5" s="1"/>
  <c r="F32" i="5"/>
  <c r="N32" i="5"/>
  <c r="R32" i="5"/>
  <c r="G38" i="5"/>
  <c r="G40" i="5" s="1"/>
  <c r="K38" i="5"/>
  <c r="K40" i="5" s="1"/>
  <c r="O38" i="5"/>
  <c r="O40" i="5" s="1"/>
  <c r="S38" i="5"/>
  <c r="S40" i="5" s="1"/>
  <c r="D38" i="5"/>
  <c r="D40" i="5" s="1"/>
  <c r="H38" i="5"/>
  <c r="H40" i="5" s="1"/>
  <c r="P38" i="5"/>
  <c r="P40" i="5" s="1"/>
  <c r="E19" i="5"/>
  <c r="C19" i="5" s="1"/>
  <c r="I38" i="5"/>
  <c r="I40" i="5" s="1"/>
  <c r="Q38" i="5"/>
  <c r="Q40" i="5" s="1"/>
  <c r="E6" i="5"/>
  <c r="M6" i="5"/>
  <c r="E32" i="5" l="1"/>
  <c r="E38" i="5"/>
  <c r="E40" i="5" s="1"/>
  <c r="C6" i="5"/>
  <c r="M32" i="5"/>
  <c r="M38" i="5"/>
  <c r="M40" i="5" s="1"/>
  <c r="C32" i="5" l="1"/>
  <c r="C38" i="5"/>
  <c r="C40" i="5" s="1"/>
</calcChain>
</file>

<file path=xl/sharedStrings.xml><?xml version="1.0" encoding="utf-8"?>
<sst xmlns="http://schemas.openxmlformats.org/spreadsheetml/2006/main" count="120" uniqueCount="83">
  <si>
    <t>Отчет по начислениям и оплатам за 2018год</t>
  </si>
  <si>
    <t>№ п/п</t>
  </si>
  <si>
    <t>Наименование статей</t>
  </si>
  <si>
    <t>Всего:</t>
  </si>
  <si>
    <t>Текущий ремонт</t>
  </si>
  <si>
    <t>Содержание и обслуживание общего имущества</t>
  </si>
  <si>
    <t>Содержание придомовой территории</t>
  </si>
  <si>
    <t>ТО ВДГО</t>
  </si>
  <si>
    <t>Содержание лифтов</t>
  </si>
  <si>
    <t>Уборка МОП</t>
  </si>
  <si>
    <t>ОДН ХВС</t>
  </si>
  <si>
    <t>ОДН ГВС</t>
  </si>
  <si>
    <t>ОДН КНС</t>
  </si>
  <si>
    <t>ОДН Эл</t>
  </si>
  <si>
    <t>Отопление</t>
  </si>
  <si>
    <t>Холодное водоснабжение</t>
  </si>
  <si>
    <t>Водоотведение ХВС</t>
  </si>
  <si>
    <t>Горячее водоснабжение</t>
  </si>
  <si>
    <t>Водоотведение ГВС</t>
  </si>
  <si>
    <t>Электроснабжение</t>
  </si>
  <si>
    <t>Газоснабжение</t>
  </si>
  <si>
    <t>Долг на начало года</t>
  </si>
  <si>
    <t>Начислено  жителям за 2018год:</t>
  </si>
  <si>
    <t>Оплачено за 2018 год</t>
  </si>
  <si>
    <t>Задолженность жителей на конец года</t>
  </si>
  <si>
    <t>Остаток средств на начало года</t>
  </si>
  <si>
    <t>Наличие средств для выполнения работ в текущем периоде, руб</t>
  </si>
  <si>
    <t>Выполнено работ, услуг</t>
  </si>
  <si>
    <t>Остаток средств на конец года</t>
  </si>
  <si>
    <t>Расшифровка затрат по статьям:</t>
  </si>
  <si>
    <t>Управление всего, в т.ч.</t>
  </si>
  <si>
    <t>ФОТ на оплату труда упр персонала</t>
  </si>
  <si>
    <t>Почтовые расходы</t>
  </si>
  <si>
    <t>Аренда личного танспорта работников</t>
  </si>
  <si>
    <t>РКО</t>
  </si>
  <si>
    <t>Программное обеспечение</t>
  </si>
  <si>
    <t>Содержание офиса (аренда, КУ)</t>
  </si>
  <si>
    <t>Оргтехника и обслуживание</t>
  </si>
  <si>
    <t>Обслуживание сайта</t>
  </si>
  <si>
    <t>Обслуживание ККМ и ККТ</t>
  </si>
  <si>
    <t>Размещение информации в газете</t>
  </si>
  <si>
    <t>Офисные расходы (мебель, канцтовары, бланки)</t>
  </si>
  <si>
    <t>Связь</t>
  </si>
  <si>
    <t>Командировки</t>
  </si>
  <si>
    <t>Охрана труда (оценка, защ.средства, быт.техника)</t>
  </si>
  <si>
    <t>Обучение персонала</t>
  </si>
  <si>
    <t>ЭЦП и электронная отчетность</t>
  </si>
  <si>
    <t>Юридические услуги</t>
  </si>
  <si>
    <t>Проезд сотрудников</t>
  </si>
  <si>
    <t>Взносы в НП СРО "МГУ ЖКХ"</t>
  </si>
  <si>
    <t>Аварийно-диспетчерское обслуживание</t>
  </si>
  <si>
    <t>2.</t>
  </si>
  <si>
    <t>Содержание общего имущества всего, в т.ч.</t>
  </si>
  <si>
    <t>ФОТ технического персонала с отчислениями</t>
  </si>
  <si>
    <t>Услуги по оборудованию и обслуживанию мест первичного сбора и накопления отработанных ртутьсодержащих ламп</t>
  </si>
  <si>
    <t>Снятие показаний и проверка работоспособности УУТЭ</t>
  </si>
  <si>
    <t>Проверка достоверности показаний ИПУ</t>
  </si>
  <si>
    <t>Проверка дымоходов и вентканалов</t>
  </si>
  <si>
    <t>Техническая дефектация, юстировка, ремонт манометров</t>
  </si>
  <si>
    <t xml:space="preserve">Информационная табличка </t>
  </si>
  <si>
    <t>Материалы, инструменты</t>
  </si>
  <si>
    <t>г. Кохма, ул. Ивановская, д. 92</t>
  </si>
  <si>
    <t>Налог УСН 1%</t>
  </si>
  <si>
    <t>Ремонт насоса</t>
  </si>
  <si>
    <t>Текущий ремонт канализационной насосной станции</t>
  </si>
  <si>
    <t>Текущий ремонт кровли</t>
  </si>
  <si>
    <t>Сопровождение программы 1с Бух</t>
  </si>
  <si>
    <t>Чистка КНС  (колодца)</t>
  </si>
  <si>
    <t>Очистка крыши от снега,наледи и сосулек</t>
  </si>
  <si>
    <t xml:space="preserve">фонд оплаты труда дворников,с отчислениями </t>
  </si>
  <si>
    <t>услуги по аренде эксковатора</t>
  </si>
  <si>
    <t>спец.одежда</t>
  </si>
  <si>
    <t>Материалы ( песок, соль,грунт, инвентарь,пр.)</t>
  </si>
  <si>
    <t>Страхование лифтов</t>
  </si>
  <si>
    <t>Тех.обслуж.лифтов</t>
  </si>
  <si>
    <t>Тех.освидетельствование лифтов</t>
  </si>
  <si>
    <t xml:space="preserve">ФОТ уборщицы с отчислениями  </t>
  </si>
  <si>
    <t xml:space="preserve">материалы </t>
  </si>
  <si>
    <t>Услуги МФЦ</t>
  </si>
  <si>
    <t>Инвентарь и материалы</t>
  </si>
  <si>
    <t>Отчет по затратам  за 2018год</t>
  </si>
  <si>
    <t>Генеральный директор ____________________________ Балыков А.И.</t>
  </si>
  <si>
    <t>Отчёт получил ____________________________________ (___________________________)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</si>
</sst>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EE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/>
    <xf numFmtId="0" fontId="4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" fontId="5" fillId="2" borderId="1" xfId="0" applyNumberFormat="1" applyFont="1" applyFill="1" applyBorder="1"/>
    <xf numFmtId="0" fontId="5" fillId="0" borderId="0" xfId="0" applyFont="1"/>
    <xf numFmtId="17" fontId="4" fillId="0" borderId="1" xfId="0" applyNumberFormat="1" applyFont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4" fillId="0" borderId="2" xfId="0" applyFont="1" applyBorder="1"/>
    <xf numFmtId="17" fontId="4" fillId="0" borderId="2" xfId="0" applyNumberFormat="1" applyFont="1" applyBorder="1"/>
    <xf numFmtId="4" fontId="4" fillId="0" borderId="2" xfId="0" applyNumberFormat="1" applyFont="1" applyBorder="1"/>
    <xf numFmtId="0" fontId="7" fillId="2" borderId="3" xfId="0" applyFont="1" applyFill="1" applyBorder="1"/>
    <xf numFmtId="0" fontId="7" fillId="2" borderId="4" xfId="0" applyFont="1" applyFill="1" applyBorder="1" applyAlignment="1">
      <alignment wrapText="1"/>
    </xf>
    <xf numFmtId="4" fontId="7" fillId="2" borderId="4" xfId="0" applyNumberFormat="1" applyFont="1" applyFill="1" applyBorder="1"/>
    <xf numFmtId="4" fontId="7" fillId="2" borderId="5" xfId="0" applyNumberFormat="1" applyFont="1" applyFill="1" applyBorder="1"/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4" fontId="4" fillId="0" borderId="0" xfId="0" applyNumberFormat="1" applyFont="1"/>
    <xf numFmtId="4" fontId="2" fillId="0" borderId="0" xfId="0" applyNumberFormat="1" applyFont="1"/>
    <xf numFmtId="0" fontId="8" fillId="0" borderId="1" xfId="0" applyFont="1" applyBorder="1"/>
    <xf numFmtId="0" fontId="9" fillId="0" borderId="1" xfId="0" applyFont="1" applyBorder="1"/>
    <xf numFmtId="4" fontId="2" fillId="0" borderId="1" xfId="0" applyNumberFormat="1" applyFont="1" applyBorder="1"/>
    <xf numFmtId="4" fontId="10" fillId="3" borderId="1" xfId="0" applyNumberFormat="1" applyFont="1" applyFill="1" applyBorder="1"/>
    <xf numFmtId="4" fontId="0" fillId="0" borderId="1" xfId="0" applyNumberFormat="1" applyBorder="1"/>
    <xf numFmtId="0" fontId="9" fillId="3" borderId="1" xfId="0" applyFont="1" applyFill="1" applyBorder="1"/>
    <xf numFmtId="4" fontId="4" fillId="3" borderId="1" xfId="0" applyNumberFormat="1" applyFont="1" applyFill="1" applyBorder="1"/>
    <xf numFmtId="4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4" fontId="0" fillId="2" borderId="0" xfId="0" applyNumberFormat="1" applyFill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0" xfId="0" applyFont="1"/>
    <xf numFmtId="0" fontId="2" fillId="2" borderId="6" xfId="0" applyFont="1" applyFill="1" applyBorder="1" applyAlignment="1">
      <alignment horizontal="left"/>
    </xf>
    <xf numFmtId="4" fontId="0" fillId="0" borderId="9" xfId="0" applyNumberFormat="1" applyBorder="1"/>
    <xf numFmtId="4" fontId="0" fillId="4" borderId="0" xfId="0" applyNumberFormat="1" applyFill="1"/>
    <xf numFmtId="0" fontId="11" fillId="0" borderId="0" xfId="0" applyFont="1"/>
    <xf numFmtId="4" fontId="3" fillId="0" borderId="9" xfId="0" applyNumberFormat="1" applyFont="1" applyBorder="1"/>
    <xf numFmtId="4" fontId="3" fillId="0" borderId="0" xfId="0" applyNumberFormat="1" applyFont="1"/>
    <xf numFmtId="4" fontId="4" fillId="0" borderId="9" xfId="0" applyNumberFormat="1" applyFont="1" applyBorder="1"/>
    <xf numFmtId="0" fontId="0" fillId="0" borderId="0" xfId="0" applyAlignment="1">
      <alignment horizontal="left"/>
    </xf>
    <xf numFmtId="0" fontId="12" fillId="0" borderId="0" xfId="0" applyFont="1"/>
    <xf numFmtId="0" fontId="13" fillId="0" borderId="0" xfId="0" applyFont="1"/>
    <xf numFmtId="4" fontId="13" fillId="0" borderId="0" xfId="0" applyNumberFormat="1" applyFont="1"/>
    <xf numFmtId="4" fontId="12" fillId="0" borderId="0" xfId="0" applyNumberFormat="1" applyFont="1"/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BEE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T194"/>
  <sheetViews>
    <sheetView tabSelected="1" zoomScaleNormal="100" workbookViewId="0">
      <selection activeCell="E176" sqref="E176"/>
    </sheetView>
  </sheetViews>
  <sheetFormatPr defaultRowHeight="15" x14ac:dyDescent="0.25"/>
  <cols>
    <col min="2" max="2" width="35.42578125" customWidth="1"/>
    <col min="3" max="3" width="18.28515625" customWidth="1"/>
    <col min="4" max="4" width="16.85546875" customWidth="1"/>
    <col min="5" max="5" width="17.7109375" customWidth="1"/>
    <col min="6" max="6" width="14.5703125" customWidth="1"/>
    <col min="7" max="7" width="15.7109375" customWidth="1"/>
    <col min="8" max="8" width="15.85546875" customWidth="1"/>
    <col min="9" max="9" width="15.42578125" customWidth="1"/>
    <col min="10" max="10" width="17.42578125" customWidth="1"/>
    <col min="11" max="11" width="14.7109375" hidden="1" customWidth="1"/>
    <col min="12" max="12" width="13.42578125" customWidth="1"/>
    <col min="13" max="13" width="18.5703125" customWidth="1"/>
    <col min="14" max="14" width="13.42578125" hidden="1" customWidth="1"/>
    <col min="15" max="15" width="16.42578125" hidden="1" customWidth="1"/>
    <col min="16" max="16" width="17.28515625" hidden="1" customWidth="1"/>
    <col min="17" max="17" width="16.28515625" hidden="1" customWidth="1"/>
    <col min="18" max="18" width="16.140625" hidden="1" customWidth="1"/>
    <col min="19" max="19" width="14" hidden="1" customWidth="1"/>
    <col min="20" max="20" width="15.5703125" customWidth="1"/>
    <col min="21" max="21" width="13.42578125" customWidth="1"/>
    <col min="22" max="22" width="12.7109375" bestFit="1" customWidth="1"/>
    <col min="258" max="258" width="35.42578125" customWidth="1"/>
    <col min="259" max="259" width="18.28515625" customWidth="1"/>
    <col min="260" max="260" width="16.85546875" customWidth="1"/>
    <col min="261" max="261" width="14.140625" customWidth="1"/>
    <col min="262" max="262" width="14.5703125" customWidth="1"/>
    <col min="263" max="263" width="15.7109375" customWidth="1"/>
    <col min="264" max="264" width="15.85546875" customWidth="1"/>
    <col min="265" max="265" width="14.28515625" customWidth="1"/>
    <col min="266" max="266" width="17.42578125" customWidth="1"/>
    <col min="267" max="267" width="14.7109375" customWidth="1"/>
    <col min="268" max="268" width="13.42578125" customWidth="1"/>
    <col min="269" max="269" width="18.5703125" customWidth="1"/>
    <col min="270" max="270" width="13.42578125" customWidth="1"/>
    <col min="271" max="271" width="14.85546875" customWidth="1"/>
    <col min="272" max="272" width="17.28515625" customWidth="1"/>
    <col min="273" max="273" width="14.85546875" customWidth="1"/>
    <col min="274" max="274" width="14.28515625" customWidth="1"/>
    <col min="275" max="275" width="14" customWidth="1"/>
    <col min="276" max="276" width="13.85546875" customWidth="1"/>
    <col min="514" max="514" width="35.42578125" customWidth="1"/>
    <col min="515" max="515" width="18.28515625" customWidth="1"/>
    <col min="516" max="516" width="16.85546875" customWidth="1"/>
    <col min="517" max="517" width="14.140625" customWidth="1"/>
    <col min="518" max="518" width="14.5703125" customWidth="1"/>
    <col min="519" max="519" width="15.7109375" customWidth="1"/>
    <col min="520" max="520" width="15.85546875" customWidth="1"/>
    <col min="521" max="521" width="14.28515625" customWidth="1"/>
    <col min="522" max="522" width="17.42578125" customWidth="1"/>
    <col min="523" max="523" width="14.7109375" customWidth="1"/>
    <col min="524" max="524" width="13.42578125" customWidth="1"/>
    <col min="525" max="525" width="18.5703125" customWidth="1"/>
    <col min="526" max="526" width="13.42578125" customWidth="1"/>
    <col min="527" max="527" width="14.85546875" customWidth="1"/>
    <col min="528" max="528" width="17.28515625" customWidth="1"/>
    <col min="529" max="529" width="14.85546875" customWidth="1"/>
    <col min="530" max="530" width="14.28515625" customWidth="1"/>
    <col min="531" max="531" width="14" customWidth="1"/>
    <col min="532" max="532" width="13.85546875" customWidth="1"/>
    <col min="770" max="770" width="35.42578125" customWidth="1"/>
    <col min="771" max="771" width="18.28515625" customWidth="1"/>
    <col min="772" max="772" width="16.85546875" customWidth="1"/>
    <col min="773" max="773" width="14.140625" customWidth="1"/>
    <col min="774" max="774" width="14.5703125" customWidth="1"/>
    <col min="775" max="775" width="15.7109375" customWidth="1"/>
    <col min="776" max="776" width="15.85546875" customWidth="1"/>
    <col min="777" max="777" width="14.28515625" customWidth="1"/>
    <col min="778" max="778" width="17.42578125" customWidth="1"/>
    <col min="779" max="779" width="14.7109375" customWidth="1"/>
    <col min="780" max="780" width="13.42578125" customWidth="1"/>
    <col min="781" max="781" width="18.5703125" customWidth="1"/>
    <col min="782" max="782" width="13.42578125" customWidth="1"/>
    <col min="783" max="783" width="14.85546875" customWidth="1"/>
    <col min="784" max="784" width="17.28515625" customWidth="1"/>
    <col min="785" max="785" width="14.85546875" customWidth="1"/>
    <col min="786" max="786" width="14.28515625" customWidth="1"/>
    <col min="787" max="787" width="14" customWidth="1"/>
    <col min="788" max="788" width="13.85546875" customWidth="1"/>
    <col min="1026" max="1026" width="35.42578125" customWidth="1"/>
    <col min="1027" max="1027" width="18.28515625" customWidth="1"/>
    <col min="1028" max="1028" width="16.85546875" customWidth="1"/>
    <col min="1029" max="1029" width="14.140625" customWidth="1"/>
    <col min="1030" max="1030" width="14.5703125" customWidth="1"/>
    <col min="1031" max="1031" width="15.7109375" customWidth="1"/>
    <col min="1032" max="1032" width="15.85546875" customWidth="1"/>
    <col min="1033" max="1033" width="14.28515625" customWidth="1"/>
    <col min="1034" max="1034" width="17.42578125" customWidth="1"/>
    <col min="1035" max="1035" width="14.7109375" customWidth="1"/>
    <col min="1036" max="1036" width="13.42578125" customWidth="1"/>
    <col min="1037" max="1037" width="18.5703125" customWidth="1"/>
    <col min="1038" max="1038" width="13.42578125" customWidth="1"/>
    <col min="1039" max="1039" width="14.85546875" customWidth="1"/>
    <col min="1040" max="1040" width="17.28515625" customWidth="1"/>
    <col min="1041" max="1041" width="14.85546875" customWidth="1"/>
    <col min="1042" max="1042" width="14.28515625" customWidth="1"/>
    <col min="1043" max="1043" width="14" customWidth="1"/>
    <col min="1044" max="1044" width="13.85546875" customWidth="1"/>
    <col min="1282" max="1282" width="35.42578125" customWidth="1"/>
    <col min="1283" max="1283" width="18.28515625" customWidth="1"/>
    <col min="1284" max="1284" width="16.85546875" customWidth="1"/>
    <col min="1285" max="1285" width="14.140625" customWidth="1"/>
    <col min="1286" max="1286" width="14.5703125" customWidth="1"/>
    <col min="1287" max="1287" width="15.7109375" customWidth="1"/>
    <col min="1288" max="1288" width="15.85546875" customWidth="1"/>
    <col min="1289" max="1289" width="14.28515625" customWidth="1"/>
    <col min="1290" max="1290" width="17.42578125" customWidth="1"/>
    <col min="1291" max="1291" width="14.7109375" customWidth="1"/>
    <col min="1292" max="1292" width="13.42578125" customWidth="1"/>
    <col min="1293" max="1293" width="18.5703125" customWidth="1"/>
    <col min="1294" max="1294" width="13.42578125" customWidth="1"/>
    <col min="1295" max="1295" width="14.85546875" customWidth="1"/>
    <col min="1296" max="1296" width="17.28515625" customWidth="1"/>
    <col min="1297" max="1297" width="14.85546875" customWidth="1"/>
    <col min="1298" max="1298" width="14.28515625" customWidth="1"/>
    <col min="1299" max="1299" width="14" customWidth="1"/>
    <col min="1300" max="1300" width="13.85546875" customWidth="1"/>
    <col min="1538" max="1538" width="35.42578125" customWidth="1"/>
    <col min="1539" max="1539" width="18.28515625" customWidth="1"/>
    <col min="1540" max="1540" width="16.85546875" customWidth="1"/>
    <col min="1541" max="1541" width="14.140625" customWidth="1"/>
    <col min="1542" max="1542" width="14.5703125" customWidth="1"/>
    <col min="1543" max="1543" width="15.7109375" customWidth="1"/>
    <col min="1544" max="1544" width="15.85546875" customWidth="1"/>
    <col min="1545" max="1545" width="14.28515625" customWidth="1"/>
    <col min="1546" max="1546" width="17.42578125" customWidth="1"/>
    <col min="1547" max="1547" width="14.7109375" customWidth="1"/>
    <col min="1548" max="1548" width="13.42578125" customWidth="1"/>
    <col min="1549" max="1549" width="18.5703125" customWidth="1"/>
    <col min="1550" max="1550" width="13.42578125" customWidth="1"/>
    <col min="1551" max="1551" width="14.85546875" customWidth="1"/>
    <col min="1552" max="1552" width="17.28515625" customWidth="1"/>
    <col min="1553" max="1553" width="14.85546875" customWidth="1"/>
    <col min="1554" max="1554" width="14.28515625" customWidth="1"/>
    <col min="1555" max="1555" width="14" customWidth="1"/>
    <col min="1556" max="1556" width="13.85546875" customWidth="1"/>
    <col min="1794" max="1794" width="35.42578125" customWidth="1"/>
    <col min="1795" max="1795" width="18.28515625" customWidth="1"/>
    <col min="1796" max="1796" width="16.85546875" customWidth="1"/>
    <col min="1797" max="1797" width="14.140625" customWidth="1"/>
    <col min="1798" max="1798" width="14.5703125" customWidth="1"/>
    <col min="1799" max="1799" width="15.7109375" customWidth="1"/>
    <col min="1800" max="1800" width="15.85546875" customWidth="1"/>
    <col min="1801" max="1801" width="14.28515625" customWidth="1"/>
    <col min="1802" max="1802" width="17.42578125" customWidth="1"/>
    <col min="1803" max="1803" width="14.7109375" customWidth="1"/>
    <col min="1804" max="1804" width="13.42578125" customWidth="1"/>
    <col min="1805" max="1805" width="18.5703125" customWidth="1"/>
    <col min="1806" max="1806" width="13.42578125" customWidth="1"/>
    <col min="1807" max="1807" width="14.85546875" customWidth="1"/>
    <col min="1808" max="1808" width="17.28515625" customWidth="1"/>
    <col min="1809" max="1809" width="14.85546875" customWidth="1"/>
    <col min="1810" max="1810" width="14.28515625" customWidth="1"/>
    <col min="1811" max="1811" width="14" customWidth="1"/>
    <col min="1812" max="1812" width="13.85546875" customWidth="1"/>
    <col min="2050" max="2050" width="35.42578125" customWidth="1"/>
    <col min="2051" max="2051" width="18.28515625" customWidth="1"/>
    <col min="2052" max="2052" width="16.85546875" customWidth="1"/>
    <col min="2053" max="2053" width="14.140625" customWidth="1"/>
    <col min="2054" max="2054" width="14.5703125" customWidth="1"/>
    <col min="2055" max="2055" width="15.7109375" customWidth="1"/>
    <col min="2056" max="2056" width="15.85546875" customWidth="1"/>
    <col min="2057" max="2057" width="14.28515625" customWidth="1"/>
    <col min="2058" max="2058" width="17.42578125" customWidth="1"/>
    <col min="2059" max="2059" width="14.7109375" customWidth="1"/>
    <col min="2060" max="2060" width="13.42578125" customWidth="1"/>
    <col min="2061" max="2061" width="18.5703125" customWidth="1"/>
    <col min="2062" max="2062" width="13.42578125" customWidth="1"/>
    <col min="2063" max="2063" width="14.85546875" customWidth="1"/>
    <col min="2064" max="2064" width="17.28515625" customWidth="1"/>
    <col min="2065" max="2065" width="14.85546875" customWidth="1"/>
    <col min="2066" max="2066" width="14.28515625" customWidth="1"/>
    <col min="2067" max="2067" width="14" customWidth="1"/>
    <col min="2068" max="2068" width="13.85546875" customWidth="1"/>
    <col min="2306" max="2306" width="35.42578125" customWidth="1"/>
    <col min="2307" max="2307" width="18.28515625" customWidth="1"/>
    <col min="2308" max="2308" width="16.85546875" customWidth="1"/>
    <col min="2309" max="2309" width="14.140625" customWidth="1"/>
    <col min="2310" max="2310" width="14.5703125" customWidth="1"/>
    <col min="2311" max="2311" width="15.7109375" customWidth="1"/>
    <col min="2312" max="2312" width="15.85546875" customWidth="1"/>
    <col min="2313" max="2313" width="14.28515625" customWidth="1"/>
    <col min="2314" max="2314" width="17.42578125" customWidth="1"/>
    <col min="2315" max="2315" width="14.7109375" customWidth="1"/>
    <col min="2316" max="2316" width="13.42578125" customWidth="1"/>
    <col min="2317" max="2317" width="18.5703125" customWidth="1"/>
    <col min="2318" max="2318" width="13.42578125" customWidth="1"/>
    <col min="2319" max="2319" width="14.85546875" customWidth="1"/>
    <col min="2320" max="2320" width="17.28515625" customWidth="1"/>
    <col min="2321" max="2321" width="14.85546875" customWidth="1"/>
    <col min="2322" max="2322" width="14.28515625" customWidth="1"/>
    <col min="2323" max="2323" width="14" customWidth="1"/>
    <col min="2324" max="2324" width="13.85546875" customWidth="1"/>
    <col min="2562" max="2562" width="35.42578125" customWidth="1"/>
    <col min="2563" max="2563" width="18.28515625" customWidth="1"/>
    <col min="2564" max="2564" width="16.85546875" customWidth="1"/>
    <col min="2565" max="2565" width="14.140625" customWidth="1"/>
    <col min="2566" max="2566" width="14.5703125" customWidth="1"/>
    <col min="2567" max="2567" width="15.7109375" customWidth="1"/>
    <col min="2568" max="2568" width="15.85546875" customWidth="1"/>
    <col min="2569" max="2569" width="14.28515625" customWidth="1"/>
    <col min="2570" max="2570" width="17.42578125" customWidth="1"/>
    <col min="2571" max="2571" width="14.7109375" customWidth="1"/>
    <col min="2572" max="2572" width="13.42578125" customWidth="1"/>
    <col min="2573" max="2573" width="18.5703125" customWidth="1"/>
    <col min="2574" max="2574" width="13.42578125" customWidth="1"/>
    <col min="2575" max="2575" width="14.85546875" customWidth="1"/>
    <col min="2576" max="2576" width="17.28515625" customWidth="1"/>
    <col min="2577" max="2577" width="14.85546875" customWidth="1"/>
    <col min="2578" max="2578" width="14.28515625" customWidth="1"/>
    <col min="2579" max="2579" width="14" customWidth="1"/>
    <col min="2580" max="2580" width="13.85546875" customWidth="1"/>
    <col min="2818" max="2818" width="35.42578125" customWidth="1"/>
    <col min="2819" max="2819" width="18.28515625" customWidth="1"/>
    <col min="2820" max="2820" width="16.85546875" customWidth="1"/>
    <col min="2821" max="2821" width="14.140625" customWidth="1"/>
    <col min="2822" max="2822" width="14.5703125" customWidth="1"/>
    <col min="2823" max="2823" width="15.7109375" customWidth="1"/>
    <col min="2824" max="2824" width="15.85546875" customWidth="1"/>
    <col min="2825" max="2825" width="14.28515625" customWidth="1"/>
    <col min="2826" max="2826" width="17.42578125" customWidth="1"/>
    <col min="2827" max="2827" width="14.7109375" customWidth="1"/>
    <col min="2828" max="2828" width="13.42578125" customWidth="1"/>
    <col min="2829" max="2829" width="18.5703125" customWidth="1"/>
    <col min="2830" max="2830" width="13.42578125" customWidth="1"/>
    <col min="2831" max="2831" width="14.85546875" customWidth="1"/>
    <col min="2832" max="2832" width="17.28515625" customWidth="1"/>
    <col min="2833" max="2833" width="14.85546875" customWidth="1"/>
    <col min="2834" max="2834" width="14.28515625" customWidth="1"/>
    <col min="2835" max="2835" width="14" customWidth="1"/>
    <col min="2836" max="2836" width="13.85546875" customWidth="1"/>
    <col min="3074" max="3074" width="35.42578125" customWidth="1"/>
    <col min="3075" max="3075" width="18.28515625" customWidth="1"/>
    <col min="3076" max="3076" width="16.85546875" customWidth="1"/>
    <col min="3077" max="3077" width="14.140625" customWidth="1"/>
    <col min="3078" max="3078" width="14.5703125" customWidth="1"/>
    <col min="3079" max="3079" width="15.7109375" customWidth="1"/>
    <col min="3080" max="3080" width="15.85546875" customWidth="1"/>
    <col min="3081" max="3081" width="14.28515625" customWidth="1"/>
    <col min="3082" max="3082" width="17.42578125" customWidth="1"/>
    <col min="3083" max="3083" width="14.7109375" customWidth="1"/>
    <col min="3084" max="3084" width="13.42578125" customWidth="1"/>
    <col min="3085" max="3085" width="18.5703125" customWidth="1"/>
    <col min="3086" max="3086" width="13.42578125" customWidth="1"/>
    <col min="3087" max="3087" width="14.85546875" customWidth="1"/>
    <col min="3088" max="3088" width="17.28515625" customWidth="1"/>
    <col min="3089" max="3089" width="14.85546875" customWidth="1"/>
    <col min="3090" max="3090" width="14.28515625" customWidth="1"/>
    <col min="3091" max="3091" width="14" customWidth="1"/>
    <col min="3092" max="3092" width="13.85546875" customWidth="1"/>
    <col min="3330" max="3330" width="35.42578125" customWidth="1"/>
    <col min="3331" max="3331" width="18.28515625" customWidth="1"/>
    <col min="3332" max="3332" width="16.85546875" customWidth="1"/>
    <col min="3333" max="3333" width="14.140625" customWidth="1"/>
    <col min="3334" max="3334" width="14.5703125" customWidth="1"/>
    <col min="3335" max="3335" width="15.7109375" customWidth="1"/>
    <col min="3336" max="3336" width="15.85546875" customWidth="1"/>
    <col min="3337" max="3337" width="14.28515625" customWidth="1"/>
    <col min="3338" max="3338" width="17.42578125" customWidth="1"/>
    <col min="3339" max="3339" width="14.7109375" customWidth="1"/>
    <col min="3340" max="3340" width="13.42578125" customWidth="1"/>
    <col min="3341" max="3341" width="18.5703125" customWidth="1"/>
    <col min="3342" max="3342" width="13.42578125" customWidth="1"/>
    <col min="3343" max="3343" width="14.85546875" customWidth="1"/>
    <col min="3344" max="3344" width="17.28515625" customWidth="1"/>
    <col min="3345" max="3345" width="14.85546875" customWidth="1"/>
    <col min="3346" max="3346" width="14.28515625" customWidth="1"/>
    <col min="3347" max="3347" width="14" customWidth="1"/>
    <col min="3348" max="3348" width="13.85546875" customWidth="1"/>
    <col min="3586" max="3586" width="35.42578125" customWidth="1"/>
    <col min="3587" max="3587" width="18.28515625" customWidth="1"/>
    <col min="3588" max="3588" width="16.85546875" customWidth="1"/>
    <col min="3589" max="3589" width="14.140625" customWidth="1"/>
    <col min="3590" max="3590" width="14.5703125" customWidth="1"/>
    <col min="3591" max="3591" width="15.7109375" customWidth="1"/>
    <col min="3592" max="3592" width="15.85546875" customWidth="1"/>
    <col min="3593" max="3593" width="14.28515625" customWidth="1"/>
    <col min="3594" max="3594" width="17.42578125" customWidth="1"/>
    <col min="3595" max="3595" width="14.7109375" customWidth="1"/>
    <col min="3596" max="3596" width="13.42578125" customWidth="1"/>
    <col min="3597" max="3597" width="18.5703125" customWidth="1"/>
    <col min="3598" max="3598" width="13.42578125" customWidth="1"/>
    <col min="3599" max="3599" width="14.85546875" customWidth="1"/>
    <col min="3600" max="3600" width="17.28515625" customWidth="1"/>
    <col min="3601" max="3601" width="14.85546875" customWidth="1"/>
    <col min="3602" max="3602" width="14.28515625" customWidth="1"/>
    <col min="3603" max="3603" width="14" customWidth="1"/>
    <col min="3604" max="3604" width="13.85546875" customWidth="1"/>
    <col min="3842" max="3842" width="35.42578125" customWidth="1"/>
    <col min="3843" max="3843" width="18.28515625" customWidth="1"/>
    <col min="3844" max="3844" width="16.85546875" customWidth="1"/>
    <col min="3845" max="3845" width="14.140625" customWidth="1"/>
    <col min="3846" max="3846" width="14.5703125" customWidth="1"/>
    <col min="3847" max="3847" width="15.7109375" customWidth="1"/>
    <col min="3848" max="3848" width="15.85546875" customWidth="1"/>
    <col min="3849" max="3849" width="14.28515625" customWidth="1"/>
    <col min="3850" max="3850" width="17.42578125" customWidth="1"/>
    <col min="3851" max="3851" width="14.7109375" customWidth="1"/>
    <col min="3852" max="3852" width="13.42578125" customWidth="1"/>
    <col min="3853" max="3853" width="18.5703125" customWidth="1"/>
    <col min="3854" max="3854" width="13.42578125" customWidth="1"/>
    <col min="3855" max="3855" width="14.85546875" customWidth="1"/>
    <col min="3856" max="3856" width="17.28515625" customWidth="1"/>
    <col min="3857" max="3857" width="14.85546875" customWidth="1"/>
    <col min="3858" max="3858" width="14.28515625" customWidth="1"/>
    <col min="3859" max="3859" width="14" customWidth="1"/>
    <col min="3860" max="3860" width="13.85546875" customWidth="1"/>
    <col min="4098" max="4098" width="35.42578125" customWidth="1"/>
    <col min="4099" max="4099" width="18.28515625" customWidth="1"/>
    <col min="4100" max="4100" width="16.85546875" customWidth="1"/>
    <col min="4101" max="4101" width="14.140625" customWidth="1"/>
    <col min="4102" max="4102" width="14.5703125" customWidth="1"/>
    <col min="4103" max="4103" width="15.7109375" customWidth="1"/>
    <col min="4104" max="4104" width="15.85546875" customWidth="1"/>
    <col min="4105" max="4105" width="14.28515625" customWidth="1"/>
    <col min="4106" max="4106" width="17.42578125" customWidth="1"/>
    <col min="4107" max="4107" width="14.7109375" customWidth="1"/>
    <col min="4108" max="4108" width="13.42578125" customWidth="1"/>
    <col min="4109" max="4109" width="18.5703125" customWidth="1"/>
    <col min="4110" max="4110" width="13.42578125" customWidth="1"/>
    <col min="4111" max="4111" width="14.85546875" customWidth="1"/>
    <col min="4112" max="4112" width="17.28515625" customWidth="1"/>
    <col min="4113" max="4113" width="14.85546875" customWidth="1"/>
    <col min="4114" max="4114" width="14.28515625" customWidth="1"/>
    <col min="4115" max="4115" width="14" customWidth="1"/>
    <col min="4116" max="4116" width="13.85546875" customWidth="1"/>
    <col min="4354" max="4354" width="35.42578125" customWidth="1"/>
    <col min="4355" max="4355" width="18.28515625" customWidth="1"/>
    <col min="4356" max="4356" width="16.85546875" customWidth="1"/>
    <col min="4357" max="4357" width="14.140625" customWidth="1"/>
    <col min="4358" max="4358" width="14.5703125" customWidth="1"/>
    <col min="4359" max="4359" width="15.7109375" customWidth="1"/>
    <col min="4360" max="4360" width="15.85546875" customWidth="1"/>
    <col min="4361" max="4361" width="14.28515625" customWidth="1"/>
    <col min="4362" max="4362" width="17.42578125" customWidth="1"/>
    <col min="4363" max="4363" width="14.7109375" customWidth="1"/>
    <col min="4364" max="4364" width="13.42578125" customWidth="1"/>
    <col min="4365" max="4365" width="18.5703125" customWidth="1"/>
    <col min="4366" max="4366" width="13.42578125" customWidth="1"/>
    <col min="4367" max="4367" width="14.85546875" customWidth="1"/>
    <col min="4368" max="4368" width="17.28515625" customWidth="1"/>
    <col min="4369" max="4369" width="14.85546875" customWidth="1"/>
    <col min="4370" max="4370" width="14.28515625" customWidth="1"/>
    <col min="4371" max="4371" width="14" customWidth="1"/>
    <col min="4372" max="4372" width="13.85546875" customWidth="1"/>
    <col min="4610" max="4610" width="35.42578125" customWidth="1"/>
    <col min="4611" max="4611" width="18.28515625" customWidth="1"/>
    <col min="4612" max="4612" width="16.85546875" customWidth="1"/>
    <col min="4613" max="4613" width="14.140625" customWidth="1"/>
    <col min="4614" max="4614" width="14.5703125" customWidth="1"/>
    <col min="4615" max="4615" width="15.7109375" customWidth="1"/>
    <col min="4616" max="4616" width="15.85546875" customWidth="1"/>
    <col min="4617" max="4617" width="14.28515625" customWidth="1"/>
    <col min="4618" max="4618" width="17.42578125" customWidth="1"/>
    <col min="4619" max="4619" width="14.7109375" customWidth="1"/>
    <col min="4620" max="4620" width="13.42578125" customWidth="1"/>
    <col min="4621" max="4621" width="18.5703125" customWidth="1"/>
    <col min="4622" max="4622" width="13.42578125" customWidth="1"/>
    <col min="4623" max="4623" width="14.85546875" customWidth="1"/>
    <col min="4624" max="4624" width="17.28515625" customWidth="1"/>
    <col min="4625" max="4625" width="14.85546875" customWidth="1"/>
    <col min="4626" max="4626" width="14.28515625" customWidth="1"/>
    <col min="4627" max="4627" width="14" customWidth="1"/>
    <col min="4628" max="4628" width="13.85546875" customWidth="1"/>
    <col min="4866" max="4866" width="35.42578125" customWidth="1"/>
    <col min="4867" max="4867" width="18.28515625" customWidth="1"/>
    <col min="4868" max="4868" width="16.85546875" customWidth="1"/>
    <col min="4869" max="4869" width="14.140625" customWidth="1"/>
    <col min="4870" max="4870" width="14.5703125" customWidth="1"/>
    <col min="4871" max="4871" width="15.7109375" customWidth="1"/>
    <col min="4872" max="4872" width="15.85546875" customWidth="1"/>
    <col min="4873" max="4873" width="14.28515625" customWidth="1"/>
    <col min="4874" max="4874" width="17.42578125" customWidth="1"/>
    <col min="4875" max="4875" width="14.7109375" customWidth="1"/>
    <col min="4876" max="4876" width="13.42578125" customWidth="1"/>
    <col min="4877" max="4877" width="18.5703125" customWidth="1"/>
    <col min="4878" max="4878" width="13.42578125" customWidth="1"/>
    <col min="4879" max="4879" width="14.85546875" customWidth="1"/>
    <col min="4880" max="4880" width="17.28515625" customWidth="1"/>
    <col min="4881" max="4881" width="14.85546875" customWidth="1"/>
    <col min="4882" max="4882" width="14.28515625" customWidth="1"/>
    <col min="4883" max="4883" width="14" customWidth="1"/>
    <col min="4884" max="4884" width="13.85546875" customWidth="1"/>
    <col min="5122" max="5122" width="35.42578125" customWidth="1"/>
    <col min="5123" max="5123" width="18.28515625" customWidth="1"/>
    <col min="5124" max="5124" width="16.85546875" customWidth="1"/>
    <col min="5125" max="5125" width="14.140625" customWidth="1"/>
    <col min="5126" max="5126" width="14.5703125" customWidth="1"/>
    <col min="5127" max="5127" width="15.7109375" customWidth="1"/>
    <col min="5128" max="5128" width="15.85546875" customWidth="1"/>
    <col min="5129" max="5129" width="14.28515625" customWidth="1"/>
    <col min="5130" max="5130" width="17.42578125" customWidth="1"/>
    <col min="5131" max="5131" width="14.7109375" customWidth="1"/>
    <col min="5132" max="5132" width="13.42578125" customWidth="1"/>
    <col min="5133" max="5133" width="18.5703125" customWidth="1"/>
    <col min="5134" max="5134" width="13.42578125" customWidth="1"/>
    <col min="5135" max="5135" width="14.85546875" customWidth="1"/>
    <col min="5136" max="5136" width="17.28515625" customWidth="1"/>
    <col min="5137" max="5137" width="14.85546875" customWidth="1"/>
    <col min="5138" max="5138" width="14.28515625" customWidth="1"/>
    <col min="5139" max="5139" width="14" customWidth="1"/>
    <col min="5140" max="5140" width="13.85546875" customWidth="1"/>
    <col min="5378" max="5378" width="35.42578125" customWidth="1"/>
    <col min="5379" max="5379" width="18.28515625" customWidth="1"/>
    <col min="5380" max="5380" width="16.85546875" customWidth="1"/>
    <col min="5381" max="5381" width="14.140625" customWidth="1"/>
    <col min="5382" max="5382" width="14.5703125" customWidth="1"/>
    <col min="5383" max="5383" width="15.7109375" customWidth="1"/>
    <col min="5384" max="5384" width="15.85546875" customWidth="1"/>
    <col min="5385" max="5385" width="14.28515625" customWidth="1"/>
    <col min="5386" max="5386" width="17.42578125" customWidth="1"/>
    <col min="5387" max="5387" width="14.7109375" customWidth="1"/>
    <col min="5388" max="5388" width="13.42578125" customWidth="1"/>
    <col min="5389" max="5389" width="18.5703125" customWidth="1"/>
    <col min="5390" max="5390" width="13.42578125" customWidth="1"/>
    <col min="5391" max="5391" width="14.85546875" customWidth="1"/>
    <col min="5392" max="5392" width="17.28515625" customWidth="1"/>
    <col min="5393" max="5393" width="14.85546875" customWidth="1"/>
    <col min="5394" max="5394" width="14.28515625" customWidth="1"/>
    <col min="5395" max="5395" width="14" customWidth="1"/>
    <col min="5396" max="5396" width="13.85546875" customWidth="1"/>
    <col min="5634" max="5634" width="35.42578125" customWidth="1"/>
    <col min="5635" max="5635" width="18.28515625" customWidth="1"/>
    <col min="5636" max="5636" width="16.85546875" customWidth="1"/>
    <col min="5637" max="5637" width="14.140625" customWidth="1"/>
    <col min="5638" max="5638" width="14.5703125" customWidth="1"/>
    <col min="5639" max="5639" width="15.7109375" customWidth="1"/>
    <col min="5640" max="5640" width="15.85546875" customWidth="1"/>
    <col min="5641" max="5641" width="14.28515625" customWidth="1"/>
    <col min="5642" max="5642" width="17.42578125" customWidth="1"/>
    <col min="5643" max="5643" width="14.7109375" customWidth="1"/>
    <col min="5644" max="5644" width="13.42578125" customWidth="1"/>
    <col min="5645" max="5645" width="18.5703125" customWidth="1"/>
    <col min="5646" max="5646" width="13.42578125" customWidth="1"/>
    <col min="5647" max="5647" width="14.85546875" customWidth="1"/>
    <col min="5648" max="5648" width="17.28515625" customWidth="1"/>
    <col min="5649" max="5649" width="14.85546875" customWidth="1"/>
    <col min="5650" max="5650" width="14.28515625" customWidth="1"/>
    <col min="5651" max="5651" width="14" customWidth="1"/>
    <col min="5652" max="5652" width="13.85546875" customWidth="1"/>
    <col min="5890" max="5890" width="35.42578125" customWidth="1"/>
    <col min="5891" max="5891" width="18.28515625" customWidth="1"/>
    <col min="5892" max="5892" width="16.85546875" customWidth="1"/>
    <col min="5893" max="5893" width="14.140625" customWidth="1"/>
    <col min="5894" max="5894" width="14.5703125" customWidth="1"/>
    <col min="5895" max="5895" width="15.7109375" customWidth="1"/>
    <col min="5896" max="5896" width="15.85546875" customWidth="1"/>
    <col min="5897" max="5897" width="14.28515625" customWidth="1"/>
    <col min="5898" max="5898" width="17.42578125" customWidth="1"/>
    <col min="5899" max="5899" width="14.7109375" customWidth="1"/>
    <col min="5900" max="5900" width="13.42578125" customWidth="1"/>
    <col min="5901" max="5901" width="18.5703125" customWidth="1"/>
    <col min="5902" max="5902" width="13.42578125" customWidth="1"/>
    <col min="5903" max="5903" width="14.85546875" customWidth="1"/>
    <col min="5904" max="5904" width="17.28515625" customWidth="1"/>
    <col min="5905" max="5905" width="14.85546875" customWidth="1"/>
    <col min="5906" max="5906" width="14.28515625" customWidth="1"/>
    <col min="5907" max="5907" width="14" customWidth="1"/>
    <col min="5908" max="5908" width="13.85546875" customWidth="1"/>
    <col min="6146" max="6146" width="35.42578125" customWidth="1"/>
    <col min="6147" max="6147" width="18.28515625" customWidth="1"/>
    <col min="6148" max="6148" width="16.85546875" customWidth="1"/>
    <col min="6149" max="6149" width="14.140625" customWidth="1"/>
    <col min="6150" max="6150" width="14.5703125" customWidth="1"/>
    <col min="6151" max="6151" width="15.7109375" customWidth="1"/>
    <col min="6152" max="6152" width="15.85546875" customWidth="1"/>
    <col min="6153" max="6153" width="14.28515625" customWidth="1"/>
    <col min="6154" max="6154" width="17.42578125" customWidth="1"/>
    <col min="6155" max="6155" width="14.7109375" customWidth="1"/>
    <col min="6156" max="6156" width="13.42578125" customWidth="1"/>
    <col min="6157" max="6157" width="18.5703125" customWidth="1"/>
    <col min="6158" max="6158" width="13.42578125" customWidth="1"/>
    <col min="6159" max="6159" width="14.85546875" customWidth="1"/>
    <col min="6160" max="6160" width="17.28515625" customWidth="1"/>
    <col min="6161" max="6161" width="14.85546875" customWidth="1"/>
    <col min="6162" max="6162" width="14.28515625" customWidth="1"/>
    <col min="6163" max="6163" width="14" customWidth="1"/>
    <col min="6164" max="6164" width="13.85546875" customWidth="1"/>
    <col min="6402" max="6402" width="35.42578125" customWidth="1"/>
    <col min="6403" max="6403" width="18.28515625" customWidth="1"/>
    <col min="6404" max="6404" width="16.85546875" customWidth="1"/>
    <col min="6405" max="6405" width="14.140625" customWidth="1"/>
    <col min="6406" max="6406" width="14.5703125" customWidth="1"/>
    <col min="6407" max="6407" width="15.7109375" customWidth="1"/>
    <col min="6408" max="6408" width="15.85546875" customWidth="1"/>
    <col min="6409" max="6409" width="14.28515625" customWidth="1"/>
    <col min="6410" max="6410" width="17.42578125" customWidth="1"/>
    <col min="6411" max="6411" width="14.7109375" customWidth="1"/>
    <col min="6412" max="6412" width="13.42578125" customWidth="1"/>
    <col min="6413" max="6413" width="18.5703125" customWidth="1"/>
    <col min="6414" max="6414" width="13.42578125" customWidth="1"/>
    <col min="6415" max="6415" width="14.85546875" customWidth="1"/>
    <col min="6416" max="6416" width="17.28515625" customWidth="1"/>
    <col min="6417" max="6417" width="14.85546875" customWidth="1"/>
    <col min="6418" max="6418" width="14.28515625" customWidth="1"/>
    <col min="6419" max="6419" width="14" customWidth="1"/>
    <col min="6420" max="6420" width="13.85546875" customWidth="1"/>
    <col min="6658" max="6658" width="35.42578125" customWidth="1"/>
    <col min="6659" max="6659" width="18.28515625" customWidth="1"/>
    <col min="6660" max="6660" width="16.85546875" customWidth="1"/>
    <col min="6661" max="6661" width="14.140625" customWidth="1"/>
    <col min="6662" max="6662" width="14.5703125" customWidth="1"/>
    <col min="6663" max="6663" width="15.7109375" customWidth="1"/>
    <col min="6664" max="6664" width="15.85546875" customWidth="1"/>
    <col min="6665" max="6665" width="14.28515625" customWidth="1"/>
    <col min="6666" max="6666" width="17.42578125" customWidth="1"/>
    <col min="6667" max="6667" width="14.7109375" customWidth="1"/>
    <col min="6668" max="6668" width="13.42578125" customWidth="1"/>
    <col min="6669" max="6669" width="18.5703125" customWidth="1"/>
    <col min="6670" max="6670" width="13.42578125" customWidth="1"/>
    <col min="6671" max="6671" width="14.85546875" customWidth="1"/>
    <col min="6672" max="6672" width="17.28515625" customWidth="1"/>
    <col min="6673" max="6673" width="14.85546875" customWidth="1"/>
    <col min="6674" max="6674" width="14.28515625" customWidth="1"/>
    <col min="6675" max="6675" width="14" customWidth="1"/>
    <col min="6676" max="6676" width="13.85546875" customWidth="1"/>
    <col min="6914" max="6914" width="35.42578125" customWidth="1"/>
    <col min="6915" max="6915" width="18.28515625" customWidth="1"/>
    <col min="6916" max="6916" width="16.85546875" customWidth="1"/>
    <col min="6917" max="6917" width="14.140625" customWidth="1"/>
    <col min="6918" max="6918" width="14.5703125" customWidth="1"/>
    <col min="6919" max="6919" width="15.7109375" customWidth="1"/>
    <col min="6920" max="6920" width="15.85546875" customWidth="1"/>
    <col min="6921" max="6921" width="14.28515625" customWidth="1"/>
    <col min="6922" max="6922" width="17.42578125" customWidth="1"/>
    <col min="6923" max="6923" width="14.7109375" customWidth="1"/>
    <col min="6924" max="6924" width="13.42578125" customWidth="1"/>
    <col min="6925" max="6925" width="18.5703125" customWidth="1"/>
    <col min="6926" max="6926" width="13.42578125" customWidth="1"/>
    <col min="6927" max="6927" width="14.85546875" customWidth="1"/>
    <col min="6928" max="6928" width="17.28515625" customWidth="1"/>
    <col min="6929" max="6929" width="14.85546875" customWidth="1"/>
    <col min="6930" max="6930" width="14.28515625" customWidth="1"/>
    <col min="6931" max="6931" width="14" customWidth="1"/>
    <col min="6932" max="6932" width="13.85546875" customWidth="1"/>
    <col min="7170" max="7170" width="35.42578125" customWidth="1"/>
    <col min="7171" max="7171" width="18.28515625" customWidth="1"/>
    <col min="7172" max="7172" width="16.85546875" customWidth="1"/>
    <col min="7173" max="7173" width="14.140625" customWidth="1"/>
    <col min="7174" max="7174" width="14.5703125" customWidth="1"/>
    <col min="7175" max="7175" width="15.7109375" customWidth="1"/>
    <col min="7176" max="7176" width="15.85546875" customWidth="1"/>
    <col min="7177" max="7177" width="14.28515625" customWidth="1"/>
    <col min="7178" max="7178" width="17.42578125" customWidth="1"/>
    <col min="7179" max="7179" width="14.7109375" customWidth="1"/>
    <col min="7180" max="7180" width="13.42578125" customWidth="1"/>
    <col min="7181" max="7181" width="18.5703125" customWidth="1"/>
    <col min="7182" max="7182" width="13.42578125" customWidth="1"/>
    <col min="7183" max="7183" width="14.85546875" customWidth="1"/>
    <col min="7184" max="7184" width="17.28515625" customWidth="1"/>
    <col min="7185" max="7185" width="14.85546875" customWidth="1"/>
    <col min="7186" max="7186" width="14.28515625" customWidth="1"/>
    <col min="7187" max="7187" width="14" customWidth="1"/>
    <col min="7188" max="7188" width="13.85546875" customWidth="1"/>
    <col min="7426" max="7426" width="35.42578125" customWidth="1"/>
    <col min="7427" max="7427" width="18.28515625" customWidth="1"/>
    <col min="7428" max="7428" width="16.85546875" customWidth="1"/>
    <col min="7429" max="7429" width="14.140625" customWidth="1"/>
    <col min="7430" max="7430" width="14.5703125" customWidth="1"/>
    <col min="7431" max="7431" width="15.7109375" customWidth="1"/>
    <col min="7432" max="7432" width="15.85546875" customWidth="1"/>
    <col min="7433" max="7433" width="14.28515625" customWidth="1"/>
    <col min="7434" max="7434" width="17.42578125" customWidth="1"/>
    <col min="7435" max="7435" width="14.7109375" customWidth="1"/>
    <col min="7436" max="7436" width="13.42578125" customWidth="1"/>
    <col min="7437" max="7437" width="18.5703125" customWidth="1"/>
    <col min="7438" max="7438" width="13.42578125" customWidth="1"/>
    <col min="7439" max="7439" width="14.85546875" customWidth="1"/>
    <col min="7440" max="7440" width="17.28515625" customWidth="1"/>
    <col min="7441" max="7441" width="14.85546875" customWidth="1"/>
    <col min="7442" max="7442" width="14.28515625" customWidth="1"/>
    <col min="7443" max="7443" width="14" customWidth="1"/>
    <col min="7444" max="7444" width="13.85546875" customWidth="1"/>
    <col min="7682" max="7682" width="35.42578125" customWidth="1"/>
    <col min="7683" max="7683" width="18.28515625" customWidth="1"/>
    <col min="7684" max="7684" width="16.85546875" customWidth="1"/>
    <col min="7685" max="7685" width="14.140625" customWidth="1"/>
    <col min="7686" max="7686" width="14.5703125" customWidth="1"/>
    <col min="7687" max="7687" width="15.7109375" customWidth="1"/>
    <col min="7688" max="7688" width="15.85546875" customWidth="1"/>
    <col min="7689" max="7689" width="14.28515625" customWidth="1"/>
    <col min="7690" max="7690" width="17.42578125" customWidth="1"/>
    <col min="7691" max="7691" width="14.7109375" customWidth="1"/>
    <col min="7692" max="7692" width="13.42578125" customWidth="1"/>
    <col min="7693" max="7693" width="18.5703125" customWidth="1"/>
    <col min="7694" max="7694" width="13.42578125" customWidth="1"/>
    <col min="7695" max="7695" width="14.85546875" customWidth="1"/>
    <col min="7696" max="7696" width="17.28515625" customWidth="1"/>
    <col min="7697" max="7697" width="14.85546875" customWidth="1"/>
    <col min="7698" max="7698" width="14.28515625" customWidth="1"/>
    <col min="7699" max="7699" width="14" customWidth="1"/>
    <col min="7700" max="7700" width="13.85546875" customWidth="1"/>
    <col min="7938" max="7938" width="35.42578125" customWidth="1"/>
    <col min="7939" max="7939" width="18.28515625" customWidth="1"/>
    <col min="7940" max="7940" width="16.85546875" customWidth="1"/>
    <col min="7941" max="7941" width="14.140625" customWidth="1"/>
    <col min="7942" max="7942" width="14.5703125" customWidth="1"/>
    <col min="7943" max="7943" width="15.7109375" customWidth="1"/>
    <col min="7944" max="7944" width="15.85546875" customWidth="1"/>
    <col min="7945" max="7945" width="14.28515625" customWidth="1"/>
    <col min="7946" max="7946" width="17.42578125" customWidth="1"/>
    <col min="7947" max="7947" width="14.7109375" customWidth="1"/>
    <col min="7948" max="7948" width="13.42578125" customWidth="1"/>
    <col min="7949" max="7949" width="18.5703125" customWidth="1"/>
    <col min="7950" max="7950" width="13.42578125" customWidth="1"/>
    <col min="7951" max="7951" width="14.85546875" customWidth="1"/>
    <col min="7952" max="7952" width="17.28515625" customWidth="1"/>
    <col min="7953" max="7953" width="14.85546875" customWidth="1"/>
    <col min="7954" max="7954" width="14.28515625" customWidth="1"/>
    <col min="7955" max="7955" width="14" customWidth="1"/>
    <col min="7956" max="7956" width="13.85546875" customWidth="1"/>
    <col min="8194" max="8194" width="35.42578125" customWidth="1"/>
    <col min="8195" max="8195" width="18.28515625" customWidth="1"/>
    <col min="8196" max="8196" width="16.85546875" customWidth="1"/>
    <col min="8197" max="8197" width="14.140625" customWidth="1"/>
    <col min="8198" max="8198" width="14.5703125" customWidth="1"/>
    <col min="8199" max="8199" width="15.7109375" customWidth="1"/>
    <col min="8200" max="8200" width="15.85546875" customWidth="1"/>
    <col min="8201" max="8201" width="14.28515625" customWidth="1"/>
    <col min="8202" max="8202" width="17.42578125" customWidth="1"/>
    <col min="8203" max="8203" width="14.7109375" customWidth="1"/>
    <col min="8204" max="8204" width="13.42578125" customWidth="1"/>
    <col min="8205" max="8205" width="18.5703125" customWidth="1"/>
    <col min="8206" max="8206" width="13.42578125" customWidth="1"/>
    <col min="8207" max="8207" width="14.85546875" customWidth="1"/>
    <col min="8208" max="8208" width="17.28515625" customWidth="1"/>
    <col min="8209" max="8209" width="14.85546875" customWidth="1"/>
    <col min="8210" max="8210" width="14.28515625" customWidth="1"/>
    <col min="8211" max="8211" width="14" customWidth="1"/>
    <col min="8212" max="8212" width="13.85546875" customWidth="1"/>
    <col min="8450" max="8450" width="35.42578125" customWidth="1"/>
    <col min="8451" max="8451" width="18.28515625" customWidth="1"/>
    <col min="8452" max="8452" width="16.85546875" customWidth="1"/>
    <col min="8453" max="8453" width="14.140625" customWidth="1"/>
    <col min="8454" max="8454" width="14.5703125" customWidth="1"/>
    <col min="8455" max="8455" width="15.7109375" customWidth="1"/>
    <col min="8456" max="8456" width="15.85546875" customWidth="1"/>
    <col min="8457" max="8457" width="14.28515625" customWidth="1"/>
    <col min="8458" max="8458" width="17.42578125" customWidth="1"/>
    <col min="8459" max="8459" width="14.7109375" customWidth="1"/>
    <col min="8460" max="8460" width="13.42578125" customWidth="1"/>
    <col min="8461" max="8461" width="18.5703125" customWidth="1"/>
    <col min="8462" max="8462" width="13.42578125" customWidth="1"/>
    <col min="8463" max="8463" width="14.85546875" customWidth="1"/>
    <col min="8464" max="8464" width="17.28515625" customWidth="1"/>
    <col min="8465" max="8465" width="14.85546875" customWidth="1"/>
    <col min="8466" max="8466" width="14.28515625" customWidth="1"/>
    <col min="8467" max="8467" width="14" customWidth="1"/>
    <col min="8468" max="8468" width="13.85546875" customWidth="1"/>
    <col min="8706" max="8706" width="35.42578125" customWidth="1"/>
    <col min="8707" max="8707" width="18.28515625" customWidth="1"/>
    <col min="8708" max="8708" width="16.85546875" customWidth="1"/>
    <col min="8709" max="8709" width="14.140625" customWidth="1"/>
    <col min="8710" max="8710" width="14.5703125" customWidth="1"/>
    <col min="8711" max="8711" width="15.7109375" customWidth="1"/>
    <col min="8712" max="8712" width="15.85546875" customWidth="1"/>
    <col min="8713" max="8713" width="14.28515625" customWidth="1"/>
    <col min="8714" max="8714" width="17.42578125" customWidth="1"/>
    <col min="8715" max="8715" width="14.7109375" customWidth="1"/>
    <col min="8716" max="8716" width="13.42578125" customWidth="1"/>
    <col min="8717" max="8717" width="18.5703125" customWidth="1"/>
    <col min="8718" max="8718" width="13.42578125" customWidth="1"/>
    <col min="8719" max="8719" width="14.85546875" customWidth="1"/>
    <col min="8720" max="8720" width="17.28515625" customWidth="1"/>
    <col min="8721" max="8721" width="14.85546875" customWidth="1"/>
    <col min="8722" max="8722" width="14.28515625" customWidth="1"/>
    <col min="8723" max="8723" width="14" customWidth="1"/>
    <col min="8724" max="8724" width="13.85546875" customWidth="1"/>
    <col min="8962" max="8962" width="35.42578125" customWidth="1"/>
    <col min="8963" max="8963" width="18.28515625" customWidth="1"/>
    <col min="8964" max="8964" width="16.85546875" customWidth="1"/>
    <col min="8965" max="8965" width="14.140625" customWidth="1"/>
    <col min="8966" max="8966" width="14.5703125" customWidth="1"/>
    <col min="8967" max="8967" width="15.7109375" customWidth="1"/>
    <col min="8968" max="8968" width="15.85546875" customWidth="1"/>
    <col min="8969" max="8969" width="14.28515625" customWidth="1"/>
    <col min="8970" max="8970" width="17.42578125" customWidth="1"/>
    <col min="8971" max="8971" width="14.7109375" customWidth="1"/>
    <col min="8972" max="8972" width="13.42578125" customWidth="1"/>
    <col min="8973" max="8973" width="18.5703125" customWidth="1"/>
    <col min="8974" max="8974" width="13.42578125" customWidth="1"/>
    <col min="8975" max="8975" width="14.85546875" customWidth="1"/>
    <col min="8976" max="8976" width="17.28515625" customWidth="1"/>
    <col min="8977" max="8977" width="14.85546875" customWidth="1"/>
    <col min="8978" max="8978" width="14.28515625" customWidth="1"/>
    <col min="8979" max="8979" width="14" customWidth="1"/>
    <col min="8980" max="8980" width="13.85546875" customWidth="1"/>
    <col min="9218" max="9218" width="35.42578125" customWidth="1"/>
    <col min="9219" max="9219" width="18.28515625" customWidth="1"/>
    <col min="9220" max="9220" width="16.85546875" customWidth="1"/>
    <col min="9221" max="9221" width="14.140625" customWidth="1"/>
    <col min="9222" max="9222" width="14.5703125" customWidth="1"/>
    <col min="9223" max="9223" width="15.7109375" customWidth="1"/>
    <col min="9224" max="9224" width="15.85546875" customWidth="1"/>
    <col min="9225" max="9225" width="14.28515625" customWidth="1"/>
    <col min="9226" max="9226" width="17.42578125" customWidth="1"/>
    <col min="9227" max="9227" width="14.7109375" customWidth="1"/>
    <col min="9228" max="9228" width="13.42578125" customWidth="1"/>
    <col min="9229" max="9229" width="18.5703125" customWidth="1"/>
    <col min="9230" max="9230" width="13.42578125" customWidth="1"/>
    <col min="9231" max="9231" width="14.85546875" customWidth="1"/>
    <col min="9232" max="9232" width="17.28515625" customWidth="1"/>
    <col min="9233" max="9233" width="14.85546875" customWidth="1"/>
    <col min="9234" max="9234" width="14.28515625" customWidth="1"/>
    <col min="9235" max="9235" width="14" customWidth="1"/>
    <col min="9236" max="9236" width="13.85546875" customWidth="1"/>
    <col min="9474" max="9474" width="35.42578125" customWidth="1"/>
    <col min="9475" max="9475" width="18.28515625" customWidth="1"/>
    <col min="9476" max="9476" width="16.85546875" customWidth="1"/>
    <col min="9477" max="9477" width="14.140625" customWidth="1"/>
    <col min="9478" max="9478" width="14.5703125" customWidth="1"/>
    <col min="9479" max="9479" width="15.7109375" customWidth="1"/>
    <col min="9480" max="9480" width="15.85546875" customWidth="1"/>
    <col min="9481" max="9481" width="14.28515625" customWidth="1"/>
    <col min="9482" max="9482" width="17.42578125" customWidth="1"/>
    <col min="9483" max="9483" width="14.7109375" customWidth="1"/>
    <col min="9484" max="9484" width="13.42578125" customWidth="1"/>
    <col min="9485" max="9485" width="18.5703125" customWidth="1"/>
    <col min="9486" max="9486" width="13.42578125" customWidth="1"/>
    <col min="9487" max="9487" width="14.85546875" customWidth="1"/>
    <col min="9488" max="9488" width="17.28515625" customWidth="1"/>
    <col min="9489" max="9489" width="14.85546875" customWidth="1"/>
    <col min="9490" max="9490" width="14.28515625" customWidth="1"/>
    <col min="9491" max="9491" width="14" customWidth="1"/>
    <col min="9492" max="9492" width="13.85546875" customWidth="1"/>
    <col min="9730" max="9730" width="35.42578125" customWidth="1"/>
    <col min="9731" max="9731" width="18.28515625" customWidth="1"/>
    <col min="9732" max="9732" width="16.85546875" customWidth="1"/>
    <col min="9733" max="9733" width="14.140625" customWidth="1"/>
    <col min="9734" max="9734" width="14.5703125" customWidth="1"/>
    <col min="9735" max="9735" width="15.7109375" customWidth="1"/>
    <col min="9736" max="9736" width="15.85546875" customWidth="1"/>
    <col min="9737" max="9737" width="14.28515625" customWidth="1"/>
    <col min="9738" max="9738" width="17.42578125" customWidth="1"/>
    <col min="9739" max="9739" width="14.7109375" customWidth="1"/>
    <col min="9740" max="9740" width="13.42578125" customWidth="1"/>
    <col min="9741" max="9741" width="18.5703125" customWidth="1"/>
    <col min="9742" max="9742" width="13.42578125" customWidth="1"/>
    <col min="9743" max="9743" width="14.85546875" customWidth="1"/>
    <col min="9744" max="9744" width="17.28515625" customWidth="1"/>
    <col min="9745" max="9745" width="14.85546875" customWidth="1"/>
    <col min="9746" max="9746" width="14.28515625" customWidth="1"/>
    <col min="9747" max="9747" width="14" customWidth="1"/>
    <col min="9748" max="9748" width="13.85546875" customWidth="1"/>
    <col min="9986" max="9986" width="35.42578125" customWidth="1"/>
    <col min="9987" max="9987" width="18.28515625" customWidth="1"/>
    <col min="9988" max="9988" width="16.85546875" customWidth="1"/>
    <col min="9989" max="9989" width="14.140625" customWidth="1"/>
    <col min="9990" max="9990" width="14.5703125" customWidth="1"/>
    <col min="9991" max="9991" width="15.7109375" customWidth="1"/>
    <col min="9992" max="9992" width="15.85546875" customWidth="1"/>
    <col min="9993" max="9993" width="14.28515625" customWidth="1"/>
    <col min="9994" max="9994" width="17.42578125" customWidth="1"/>
    <col min="9995" max="9995" width="14.7109375" customWidth="1"/>
    <col min="9996" max="9996" width="13.42578125" customWidth="1"/>
    <col min="9997" max="9997" width="18.5703125" customWidth="1"/>
    <col min="9998" max="9998" width="13.42578125" customWidth="1"/>
    <col min="9999" max="9999" width="14.85546875" customWidth="1"/>
    <col min="10000" max="10000" width="17.28515625" customWidth="1"/>
    <col min="10001" max="10001" width="14.85546875" customWidth="1"/>
    <col min="10002" max="10002" width="14.28515625" customWidth="1"/>
    <col min="10003" max="10003" width="14" customWidth="1"/>
    <col min="10004" max="10004" width="13.85546875" customWidth="1"/>
    <col min="10242" max="10242" width="35.42578125" customWidth="1"/>
    <col min="10243" max="10243" width="18.28515625" customWidth="1"/>
    <col min="10244" max="10244" width="16.85546875" customWidth="1"/>
    <col min="10245" max="10245" width="14.140625" customWidth="1"/>
    <col min="10246" max="10246" width="14.5703125" customWidth="1"/>
    <col min="10247" max="10247" width="15.7109375" customWidth="1"/>
    <col min="10248" max="10248" width="15.85546875" customWidth="1"/>
    <col min="10249" max="10249" width="14.28515625" customWidth="1"/>
    <col min="10250" max="10250" width="17.42578125" customWidth="1"/>
    <col min="10251" max="10251" width="14.7109375" customWidth="1"/>
    <col min="10252" max="10252" width="13.42578125" customWidth="1"/>
    <col min="10253" max="10253" width="18.5703125" customWidth="1"/>
    <col min="10254" max="10254" width="13.42578125" customWidth="1"/>
    <col min="10255" max="10255" width="14.85546875" customWidth="1"/>
    <col min="10256" max="10256" width="17.28515625" customWidth="1"/>
    <col min="10257" max="10257" width="14.85546875" customWidth="1"/>
    <col min="10258" max="10258" width="14.28515625" customWidth="1"/>
    <col min="10259" max="10259" width="14" customWidth="1"/>
    <col min="10260" max="10260" width="13.85546875" customWidth="1"/>
    <col min="10498" max="10498" width="35.42578125" customWidth="1"/>
    <col min="10499" max="10499" width="18.28515625" customWidth="1"/>
    <col min="10500" max="10500" width="16.85546875" customWidth="1"/>
    <col min="10501" max="10501" width="14.140625" customWidth="1"/>
    <col min="10502" max="10502" width="14.5703125" customWidth="1"/>
    <col min="10503" max="10503" width="15.7109375" customWidth="1"/>
    <col min="10504" max="10504" width="15.85546875" customWidth="1"/>
    <col min="10505" max="10505" width="14.28515625" customWidth="1"/>
    <col min="10506" max="10506" width="17.42578125" customWidth="1"/>
    <col min="10507" max="10507" width="14.7109375" customWidth="1"/>
    <col min="10508" max="10508" width="13.42578125" customWidth="1"/>
    <col min="10509" max="10509" width="18.5703125" customWidth="1"/>
    <col min="10510" max="10510" width="13.42578125" customWidth="1"/>
    <col min="10511" max="10511" width="14.85546875" customWidth="1"/>
    <col min="10512" max="10512" width="17.28515625" customWidth="1"/>
    <col min="10513" max="10513" width="14.85546875" customWidth="1"/>
    <col min="10514" max="10514" width="14.28515625" customWidth="1"/>
    <col min="10515" max="10515" width="14" customWidth="1"/>
    <col min="10516" max="10516" width="13.85546875" customWidth="1"/>
    <col min="10754" max="10754" width="35.42578125" customWidth="1"/>
    <col min="10755" max="10755" width="18.28515625" customWidth="1"/>
    <col min="10756" max="10756" width="16.85546875" customWidth="1"/>
    <col min="10757" max="10757" width="14.140625" customWidth="1"/>
    <col min="10758" max="10758" width="14.5703125" customWidth="1"/>
    <col min="10759" max="10759" width="15.7109375" customWidth="1"/>
    <col min="10760" max="10760" width="15.85546875" customWidth="1"/>
    <col min="10761" max="10761" width="14.28515625" customWidth="1"/>
    <col min="10762" max="10762" width="17.42578125" customWidth="1"/>
    <col min="10763" max="10763" width="14.7109375" customWidth="1"/>
    <col min="10764" max="10764" width="13.42578125" customWidth="1"/>
    <col min="10765" max="10765" width="18.5703125" customWidth="1"/>
    <col min="10766" max="10766" width="13.42578125" customWidth="1"/>
    <col min="10767" max="10767" width="14.85546875" customWidth="1"/>
    <col min="10768" max="10768" width="17.28515625" customWidth="1"/>
    <col min="10769" max="10769" width="14.85546875" customWidth="1"/>
    <col min="10770" max="10770" width="14.28515625" customWidth="1"/>
    <col min="10771" max="10771" width="14" customWidth="1"/>
    <col min="10772" max="10772" width="13.85546875" customWidth="1"/>
    <col min="11010" max="11010" width="35.42578125" customWidth="1"/>
    <col min="11011" max="11011" width="18.28515625" customWidth="1"/>
    <col min="11012" max="11012" width="16.85546875" customWidth="1"/>
    <col min="11013" max="11013" width="14.140625" customWidth="1"/>
    <col min="11014" max="11014" width="14.5703125" customWidth="1"/>
    <col min="11015" max="11015" width="15.7109375" customWidth="1"/>
    <col min="11016" max="11016" width="15.85546875" customWidth="1"/>
    <col min="11017" max="11017" width="14.28515625" customWidth="1"/>
    <col min="11018" max="11018" width="17.42578125" customWidth="1"/>
    <col min="11019" max="11019" width="14.7109375" customWidth="1"/>
    <col min="11020" max="11020" width="13.42578125" customWidth="1"/>
    <col min="11021" max="11021" width="18.5703125" customWidth="1"/>
    <col min="11022" max="11022" width="13.42578125" customWidth="1"/>
    <col min="11023" max="11023" width="14.85546875" customWidth="1"/>
    <col min="11024" max="11024" width="17.28515625" customWidth="1"/>
    <col min="11025" max="11025" width="14.85546875" customWidth="1"/>
    <col min="11026" max="11026" width="14.28515625" customWidth="1"/>
    <col min="11027" max="11027" width="14" customWidth="1"/>
    <col min="11028" max="11028" width="13.85546875" customWidth="1"/>
    <col min="11266" max="11266" width="35.42578125" customWidth="1"/>
    <col min="11267" max="11267" width="18.28515625" customWidth="1"/>
    <col min="11268" max="11268" width="16.85546875" customWidth="1"/>
    <col min="11269" max="11269" width="14.140625" customWidth="1"/>
    <col min="11270" max="11270" width="14.5703125" customWidth="1"/>
    <col min="11271" max="11271" width="15.7109375" customWidth="1"/>
    <col min="11272" max="11272" width="15.85546875" customWidth="1"/>
    <col min="11273" max="11273" width="14.28515625" customWidth="1"/>
    <col min="11274" max="11274" width="17.42578125" customWidth="1"/>
    <col min="11275" max="11275" width="14.7109375" customWidth="1"/>
    <col min="11276" max="11276" width="13.42578125" customWidth="1"/>
    <col min="11277" max="11277" width="18.5703125" customWidth="1"/>
    <col min="11278" max="11278" width="13.42578125" customWidth="1"/>
    <col min="11279" max="11279" width="14.85546875" customWidth="1"/>
    <col min="11280" max="11280" width="17.28515625" customWidth="1"/>
    <col min="11281" max="11281" width="14.85546875" customWidth="1"/>
    <col min="11282" max="11282" width="14.28515625" customWidth="1"/>
    <col min="11283" max="11283" width="14" customWidth="1"/>
    <col min="11284" max="11284" width="13.85546875" customWidth="1"/>
    <col min="11522" max="11522" width="35.42578125" customWidth="1"/>
    <col min="11523" max="11523" width="18.28515625" customWidth="1"/>
    <col min="11524" max="11524" width="16.85546875" customWidth="1"/>
    <col min="11525" max="11525" width="14.140625" customWidth="1"/>
    <col min="11526" max="11526" width="14.5703125" customWidth="1"/>
    <col min="11527" max="11527" width="15.7109375" customWidth="1"/>
    <col min="11528" max="11528" width="15.85546875" customWidth="1"/>
    <col min="11529" max="11529" width="14.28515625" customWidth="1"/>
    <col min="11530" max="11530" width="17.42578125" customWidth="1"/>
    <col min="11531" max="11531" width="14.7109375" customWidth="1"/>
    <col min="11532" max="11532" width="13.42578125" customWidth="1"/>
    <col min="11533" max="11533" width="18.5703125" customWidth="1"/>
    <col min="11534" max="11534" width="13.42578125" customWidth="1"/>
    <col min="11535" max="11535" width="14.85546875" customWidth="1"/>
    <col min="11536" max="11536" width="17.28515625" customWidth="1"/>
    <col min="11537" max="11537" width="14.85546875" customWidth="1"/>
    <col min="11538" max="11538" width="14.28515625" customWidth="1"/>
    <col min="11539" max="11539" width="14" customWidth="1"/>
    <col min="11540" max="11540" width="13.85546875" customWidth="1"/>
    <col min="11778" max="11778" width="35.42578125" customWidth="1"/>
    <col min="11779" max="11779" width="18.28515625" customWidth="1"/>
    <col min="11780" max="11780" width="16.85546875" customWidth="1"/>
    <col min="11781" max="11781" width="14.140625" customWidth="1"/>
    <col min="11782" max="11782" width="14.5703125" customWidth="1"/>
    <col min="11783" max="11783" width="15.7109375" customWidth="1"/>
    <col min="11784" max="11784" width="15.85546875" customWidth="1"/>
    <col min="11785" max="11785" width="14.28515625" customWidth="1"/>
    <col min="11786" max="11786" width="17.42578125" customWidth="1"/>
    <col min="11787" max="11787" width="14.7109375" customWidth="1"/>
    <col min="11788" max="11788" width="13.42578125" customWidth="1"/>
    <col min="11789" max="11789" width="18.5703125" customWidth="1"/>
    <col min="11790" max="11790" width="13.42578125" customWidth="1"/>
    <col min="11791" max="11791" width="14.85546875" customWidth="1"/>
    <col min="11792" max="11792" width="17.28515625" customWidth="1"/>
    <col min="11793" max="11793" width="14.85546875" customWidth="1"/>
    <col min="11794" max="11794" width="14.28515625" customWidth="1"/>
    <col min="11795" max="11795" width="14" customWidth="1"/>
    <col min="11796" max="11796" width="13.85546875" customWidth="1"/>
    <col min="12034" max="12034" width="35.42578125" customWidth="1"/>
    <col min="12035" max="12035" width="18.28515625" customWidth="1"/>
    <col min="12036" max="12036" width="16.85546875" customWidth="1"/>
    <col min="12037" max="12037" width="14.140625" customWidth="1"/>
    <col min="12038" max="12038" width="14.5703125" customWidth="1"/>
    <col min="12039" max="12039" width="15.7109375" customWidth="1"/>
    <col min="12040" max="12040" width="15.85546875" customWidth="1"/>
    <col min="12041" max="12041" width="14.28515625" customWidth="1"/>
    <col min="12042" max="12042" width="17.42578125" customWidth="1"/>
    <col min="12043" max="12043" width="14.7109375" customWidth="1"/>
    <col min="12044" max="12044" width="13.42578125" customWidth="1"/>
    <col min="12045" max="12045" width="18.5703125" customWidth="1"/>
    <col min="12046" max="12046" width="13.42578125" customWidth="1"/>
    <col min="12047" max="12047" width="14.85546875" customWidth="1"/>
    <col min="12048" max="12048" width="17.28515625" customWidth="1"/>
    <col min="12049" max="12049" width="14.85546875" customWidth="1"/>
    <col min="12050" max="12050" width="14.28515625" customWidth="1"/>
    <col min="12051" max="12051" width="14" customWidth="1"/>
    <col min="12052" max="12052" width="13.85546875" customWidth="1"/>
    <col min="12290" max="12290" width="35.42578125" customWidth="1"/>
    <col min="12291" max="12291" width="18.28515625" customWidth="1"/>
    <col min="12292" max="12292" width="16.85546875" customWidth="1"/>
    <col min="12293" max="12293" width="14.140625" customWidth="1"/>
    <col min="12294" max="12294" width="14.5703125" customWidth="1"/>
    <col min="12295" max="12295" width="15.7109375" customWidth="1"/>
    <col min="12296" max="12296" width="15.85546875" customWidth="1"/>
    <col min="12297" max="12297" width="14.28515625" customWidth="1"/>
    <col min="12298" max="12298" width="17.42578125" customWidth="1"/>
    <col min="12299" max="12299" width="14.7109375" customWidth="1"/>
    <col min="12300" max="12300" width="13.42578125" customWidth="1"/>
    <col min="12301" max="12301" width="18.5703125" customWidth="1"/>
    <col min="12302" max="12302" width="13.42578125" customWidth="1"/>
    <col min="12303" max="12303" width="14.85546875" customWidth="1"/>
    <col min="12304" max="12304" width="17.28515625" customWidth="1"/>
    <col min="12305" max="12305" width="14.85546875" customWidth="1"/>
    <col min="12306" max="12306" width="14.28515625" customWidth="1"/>
    <col min="12307" max="12307" width="14" customWidth="1"/>
    <col min="12308" max="12308" width="13.85546875" customWidth="1"/>
    <col min="12546" max="12546" width="35.42578125" customWidth="1"/>
    <col min="12547" max="12547" width="18.28515625" customWidth="1"/>
    <col min="12548" max="12548" width="16.85546875" customWidth="1"/>
    <col min="12549" max="12549" width="14.140625" customWidth="1"/>
    <col min="12550" max="12550" width="14.5703125" customWidth="1"/>
    <col min="12551" max="12551" width="15.7109375" customWidth="1"/>
    <col min="12552" max="12552" width="15.85546875" customWidth="1"/>
    <col min="12553" max="12553" width="14.28515625" customWidth="1"/>
    <col min="12554" max="12554" width="17.42578125" customWidth="1"/>
    <col min="12555" max="12555" width="14.7109375" customWidth="1"/>
    <col min="12556" max="12556" width="13.42578125" customWidth="1"/>
    <col min="12557" max="12557" width="18.5703125" customWidth="1"/>
    <col min="12558" max="12558" width="13.42578125" customWidth="1"/>
    <col min="12559" max="12559" width="14.85546875" customWidth="1"/>
    <col min="12560" max="12560" width="17.28515625" customWidth="1"/>
    <col min="12561" max="12561" width="14.85546875" customWidth="1"/>
    <col min="12562" max="12562" width="14.28515625" customWidth="1"/>
    <col min="12563" max="12563" width="14" customWidth="1"/>
    <col min="12564" max="12564" width="13.85546875" customWidth="1"/>
    <col min="12802" max="12802" width="35.42578125" customWidth="1"/>
    <col min="12803" max="12803" width="18.28515625" customWidth="1"/>
    <col min="12804" max="12804" width="16.85546875" customWidth="1"/>
    <col min="12805" max="12805" width="14.140625" customWidth="1"/>
    <col min="12806" max="12806" width="14.5703125" customWidth="1"/>
    <col min="12807" max="12807" width="15.7109375" customWidth="1"/>
    <col min="12808" max="12808" width="15.85546875" customWidth="1"/>
    <col min="12809" max="12809" width="14.28515625" customWidth="1"/>
    <col min="12810" max="12810" width="17.42578125" customWidth="1"/>
    <col min="12811" max="12811" width="14.7109375" customWidth="1"/>
    <col min="12812" max="12812" width="13.42578125" customWidth="1"/>
    <col min="12813" max="12813" width="18.5703125" customWidth="1"/>
    <col min="12814" max="12814" width="13.42578125" customWidth="1"/>
    <col min="12815" max="12815" width="14.85546875" customWidth="1"/>
    <col min="12816" max="12816" width="17.28515625" customWidth="1"/>
    <col min="12817" max="12817" width="14.85546875" customWidth="1"/>
    <col min="12818" max="12818" width="14.28515625" customWidth="1"/>
    <col min="12819" max="12819" width="14" customWidth="1"/>
    <col min="12820" max="12820" width="13.85546875" customWidth="1"/>
    <col min="13058" max="13058" width="35.42578125" customWidth="1"/>
    <col min="13059" max="13059" width="18.28515625" customWidth="1"/>
    <col min="13060" max="13060" width="16.85546875" customWidth="1"/>
    <col min="13061" max="13061" width="14.140625" customWidth="1"/>
    <col min="13062" max="13062" width="14.5703125" customWidth="1"/>
    <col min="13063" max="13063" width="15.7109375" customWidth="1"/>
    <col min="13064" max="13064" width="15.85546875" customWidth="1"/>
    <col min="13065" max="13065" width="14.28515625" customWidth="1"/>
    <col min="13066" max="13066" width="17.42578125" customWidth="1"/>
    <col min="13067" max="13067" width="14.7109375" customWidth="1"/>
    <col min="13068" max="13068" width="13.42578125" customWidth="1"/>
    <col min="13069" max="13069" width="18.5703125" customWidth="1"/>
    <col min="13070" max="13070" width="13.42578125" customWidth="1"/>
    <col min="13071" max="13071" width="14.85546875" customWidth="1"/>
    <col min="13072" max="13072" width="17.28515625" customWidth="1"/>
    <col min="13073" max="13073" width="14.85546875" customWidth="1"/>
    <col min="13074" max="13074" width="14.28515625" customWidth="1"/>
    <col min="13075" max="13075" width="14" customWidth="1"/>
    <col min="13076" max="13076" width="13.85546875" customWidth="1"/>
    <col min="13314" max="13314" width="35.42578125" customWidth="1"/>
    <col min="13315" max="13315" width="18.28515625" customWidth="1"/>
    <col min="13316" max="13316" width="16.85546875" customWidth="1"/>
    <col min="13317" max="13317" width="14.140625" customWidth="1"/>
    <col min="13318" max="13318" width="14.5703125" customWidth="1"/>
    <col min="13319" max="13319" width="15.7109375" customWidth="1"/>
    <col min="13320" max="13320" width="15.85546875" customWidth="1"/>
    <col min="13321" max="13321" width="14.28515625" customWidth="1"/>
    <col min="13322" max="13322" width="17.42578125" customWidth="1"/>
    <col min="13323" max="13323" width="14.7109375" customWidth="1"/>
    <col min="13324" max="13324" width="13.42578125" customWidth="1"/>
    <col min="13325" max="13325" width="18.5703125" customWidth="1"/>
    <col min="13326" max="13326" width="13.42578125" customWidth="1"/>
    <col min="13327" max="13327" width="14.85546875" customWidth="1"/>
    <col min="13328" max="13328" width="17.28515625" customWidth="1"/>
    <col min="13329" max="13329" width="14.85546875" customWidth="1"/>
    <col min="13330" max="13330" width="14.28515625" customWidth="1"/>
    <col min="13331" max="13331" width="14" customWidth="1"/>
    <col min="13332" max="13332" width="13.85546875" customWidth="1"/>
    <col min="13570" max="13570" width="35.42578125" customWidth="1"/>
    <col min="13571" max="13571" width="18.28515625" customWidth="1"/>
    <col min="13572" max="13572" width="16.85546875" customWidth="1"/>
    <col min="13573" max="13573" width="14.140625" customWidth="1"/>
    <col min="13574" max="13574" width="14.5703125" customWidth="1"/>
    <col min="13575" max="13575" width="15.7109375" customWidth="1"/>
    <col min="13576" max="13576" width="15.85546875" customWidth="1"/>
    <col min="13577" max="13577" width="14.28515625" customWidth="1"/>
    <col min="13578" max="13578" width="17.42578125" customWidth="1"/>
    <col min="13579" max="13579" width="14.7109375" customWidth="1"/>
    <col min="13580" max="13580" width="13.42578125" customWidth="1"/>
    <col min="13581" max="13581" width="18.5703125" customWidth="1"/>
    <col min="13582" max="13582" width="13.42578125" customWidth="1"/>
    <col min="13583" max="13583" width="14.85546875" customWidth="1"/>
    <col min="13584" max="13584" width="17.28515625" customWidth="1"/>
    <col min="13585" max="13585" width="14.85546875" customWidth="1"/>
    <col min="13586" max="13586" width="14.28515625" customWidth="1"/>
    <col min="13587" max="13587" width="14" customWidth="1"/>
    <col min="13588" max="13588" width="13.85546875" customWidth="1"/>
    <col min="13826" max="13826" width="35.42578125" customWidth="1"/>
    <col min="13827" max="13827" width="18.28515625" customWidth="1"/>
    <col min="13828" max="13828" width="16.85546875" customWidth="1"/>
    <col min="13829" max="13829" width="14.140625" customWidth="1"/>
    <col min="13830" max="13830" width="14.5703125" customWidth="1"/>
    <col min="13831" max="13831" width="15.7109375" customWidth="1"/>
    <col min="13832" max="13832" width="15.85546875" customWidth="1"/>
    <col min="13833" max="13833" width="14.28515625" customWidth="1"/>
    <col min="13834" max="13834" width="17.42578125" customWidth="1"/>
    <col min="13835" max="13835" width="14.7109375" customWidth="1"/>
    <col min="13836" max="13836" width="13.42578125" customWidth="1"/>
    <col min="13837" max="13837" width="18.5703125" customWidth="1"/>
    <col min="13838" max="13838" width="13.42578125" customWidth="1"/>
    <col min="13839" max="13839" width="14.85546875" customWidth="1"/>
    <col min="13840" max="13840" width="17.28515625" customWidth="1"/>
    <col min="13841" max="13841" width="14.85546875" customWidth="1"/>
    <col min="13842" max="13842" width="14.28515625" customWidth="1"/>
    <col min="13843" max="13843" width="14" customWidth="1"/>
    <col min="13844" max="13844" width="13.85546875" customWidth="1"/>
    <col min="14082" max="14082" width="35.42578125" customWidth="1"/>
    <col min="14083" max="14083" width="18.28515625" customWidth="1"/>
    <col min="14084" max="14084" width="16.85546875" customWidth="1"/>
    <col min="14085" max="14085" width="14.140625" customWidth="1"/>
    <col min="14086" max="14086" width="14.5703125" customWidth="1"/>
    <col min="14087" max="14087" width="15.7109375" customWidth="1"/>
    <col min="14088" max="14088" width="15.85546875" customWidth="1"/>
    <col min="14089" max="14089" width="14.28515625" customWidth="1"/>
    <col min="14090" max="14090" width="17.42578125" customWidth="1"/>
    <col min="14091" max="14091" width="14.7109375" customWidth="1"/>
    <col min="14092" max="14092" width="13.42578125" customWidth="1"/>
    <col min="14093" max="14093" width="18.5703125" customWidth="1"/>
    <col min="14094" max="14094" width="13.42578125" customWidth="1"/>
    <col min="14095" max="14095" width="14.85546875" customWidth="1"/>
    <col min="14096" max="14096" width="17.28515625" customWidth="1"/>
    <col min="14097" max="14097" width="14.85546875" customWidth="1"/>
    <col min="14098" max="14098" width="14.28515625" customWidth="1"/>
    <col min="14099" max="14099" width="14" customWidth="1"/>
    <col min="14100" max="14100" width="13.85546875" customWidth="1"/>
    <col min="14338" max="14338" width="35.42578125" customWidth="1"/>
    <col min="14339" max="14339" width="18.28515625" customWidth="1"/>
    <col min="14340" max="14340" width="16.85546875" customWidth="1"/>
    <col min="14341" max="14341" width="14.140625" customWidth="1"/>
    <col min="14342" max="14342" width="14.5703125" customWidth="1"/>
    <col min="14343" max="14343" width="15.7109375" customWidth="1"/>
    <col min="14344" max="14344" width="15.85546875" customWidth="1"/>
    <col min="14345" max="14345" width="14.28515625" customWidth="1"/>
    <col min="14346" max="14346" width="17.42578125" customWidth="1"/>
    <col min="14347" max="14347" width="14.7109375" customWidth="1"/>
    <col min="14348" max="14348" width="13.42578125" customWidth="1"/>
    <col min="14349" max="14349" width="18.5703125" customWidth="1"/>
    <col min="14350" max="14350" width="13.42578125" customWidth="1"/>
    <col min="14351" max="14351" width="14.85546875" customWidth="1"/>
    <col min="14352" max="14352" width="17.28515625" customWidth="1"/>
    <col min="14353" max="14353" width="14.85546875" customWidth="1"/>
    <col min="14354" max="14354" width="14.28515625" customWidth="1"/>
    <col min="14355" max="14355" width="14" customWidth="1"/>
    <col min="14356" max="14356" width="13.85546875" customWidth="1"/>
    <col min="14594" max="14594" width="35.42578125" customWidth="1"/>
    <col min="14595" max="14595" width="18.28515625" customWidth="1"/>
    <col min="14596" max="14596" width="16.85546875" customWidth="1"/>
    <col min="14597" max="14597" width="14.140625" customWidth="1"/>
    <col min="14598" max="14598" width="14.5703125" customWidth="1"/>
    <col min="14599" max="14599" width="15.7109375" customWidth="1"/>
    <col min="14600" max="14600" width="15.85546875" customWidth="1"/>
    <col min="14601" max="14601" width="14.28515625" customWidth="1"/>
    <col min="14602" max="14602" width="17.42578125" customWidth="1"/>
    <col min="14603" max="14603" width="14.7109375" customWidth="1"/>
    <col min="14604" max="14604" width="13.42578125" customWidth="1"/>
    <col min="14605" max="14605" width="18.5703125" customWidth="1"/>
    <col min="14606" max="14606" width="13.42578125" customWidth="1"/>
    <col min="14607" max="14607" width="14.85546875" customWidth="1"/>
    <col min="14608" max="14608" width="17.28515625" customWidth="1"/>
    <col min="14609" max="14609" width="14.85546875" customWidth="1"/>
    <col min="14610" max="14610" width="14.28515625" customWidth="1"/>
    <col min="14611" max="14611" width="14" customWidth="1"/>
    <col min="14612" max="14612" width="13.85546875" customWidth="1"/>
    <col min="14850" max="14850" width="35.42578125" customWidth="1"/>
    <col min="14851" max="14851" width="18.28515625" customWidth="1"/>
    <col min="14852" max="14852" width="16.85546875" customWidth="1"/>
    <col min="14853" max="14853" width="14.140625" customWidth="1"/>
    <col min="14854" max="14854" width="14.5703125" customWidth="1"/>
    <col min="14855" max="14855" width="15.7109375" customWidth="1"/>
    <col min="14856" max="14856" width="15.85546875" customWidth="1"/>
    <col min="14857" max="14857" width="14.28515625" customWidth="1"/>
    <col min="14858" max="14858" width="17.42578125" customWidth="1"/>
    <col min="14859" max="14859" width="14.7109375" customWidth="1"/>
    <col min="14860" max="14860" width="13.42578125" customWidth="1"/>
    <col min="14861" max="14861" width="18.5703125" customWidth="1"/>
    <col min="14862" max="14862" width="13.42578125" customWidth="1"/>
    <col min="14863" max="14863" width="14.85546875" customWidth="1"/>
    <col min="14864" max="14864" width="17.28515625" customWidth="1"/>
    <col min="14865" max="14865" width="14.85546875" customWidth="1"/>
    <col min="14866" max="14866" width="14.28515625" customWidth="1"/>
    <col min="14867" max="14867" width="14" customWidth="1"/>
    <col min="14868" max="14868" width="13.85546875" customWidth="1"/>
    <col min="15106" max="15106" width="35.42578125" customWidth="1"/>
    <col min="15107" max="15107" width="18.28515625" customWidth="1"/>
    <col min="15108" max="15108" width="16.85546875" customWidth="1"/>
    <col min="15109" max="15109" width="14.140625" customWidth="1"/>
    <col min="15110" max="15110" width="14.5703125" customWidth="1"/>
    <col min="15111" max="15111" width="15.7109375" customWidth="1"/>
    <col min="15112" max="15112" width="15.85546875" customWidth="1"/>
    <col min="15113" max="15113" width="14.28515625" customWidth="1"/>
    <col min="15114" max="15114" width="17.42578125" customWidth="1"/>
    <col min="15115" max="15115" width="14.7109375" customWidth="1"/>
    <col min="15116" max="15116" width="13.42578125" customWidth="1"/>
    <col min="15117" max="15117" width="18.5703125" customWidth="1"/>
    <col min="15118" max="15118" width="13.42578125" customWidth="1"/>
    <col min="15119" max="15119" width="14.85546875" customWidth="1"/>
    <col min="15120" max="15120" width="17.28515625" customWidth="1"/>
    <col min="15121" max="15121" width="14.85546875" customWidth="1"/>
    <col min="15122" max="15122" width="14.28515625" customWidth="1"/>
    <col min="15123" max="15123" width="14" customWidth="1"/>
    <col min="15124" max="15124" width="13.85546875" customWidth="1"/>
    <col min="15362" max="15362" width="35.42578125" customWidth="1"/>
    <col min="15363" max="15363" width="18.28515625" customWidth="1"/>
    <col min="15364" max="15364" width="16.85546875" customWidth="1"/>
    <col min="15365" max="15365" width="14.140625" customWidth="1"/>
    <col min="15366" max="15366" width="14.5703125" customWidth="1"/>
    <col min="15367" max="15367" width="15.7109375" customWidth="1"/>
    <col min="15368" max="15368" width="15.85546875" customWidth="1"/>
    <col min="15369" max="15369" width="14.28515625" customWidth="1"/>
    <col min="15370" max="15370" width="17.42578125" customWidth="1"/>
    <col min="15371" max="15371" width="14.7109375" customWidth="1"/>
    <col min="15372" max="15372" width="13.42578125" customWidth="1"/>
    <col min="15373" max="15373" width="18.5703125" customWidth="1"/>
    <col min="15374" max="15374" width="13.42578125" customWidth="1"/>
    <col min="15375" max="15375" width="14.85546875" customWidth="1"/>
    <col min="15376" max="15376" width="17.28515625" customWidth="1"/>
    <col min="15377" max="15377" width="14.85546875" customWidth="1"/>
    <col min="15378" max="15378" width="14.28515625" customWidth="1"/>
    <col min="15379" max="15379" width="14" customWidth="1"/>
    <col min="15380" max="15380" width="13.85546875" customWidth="1"/>
    <col min="15618" max="15618" width="35.42578125" customWidth="1"/>
    <col min="15619" max="15619" width="18.28515625" customWidth="1"/>
    <col min="15620" max="15620" width="16.85546875" customWidth="1"/>
    <col min="15621" max="15621" width="14.140625" customWidth="1"/>
    <col min="15622" max="15622" width="14.5703125" customWidth="1"/>
    <col min="15623" max="15623" width="15.7109375" customWidth="1"/>
    <col min="15624" max="15624" width="15.85546875" customWidth="1"/>
    <col min="15625" max="15625" width="14.28515625" customWidth="1"/>
    <col min="15626" max="15626" width="17.42578125" customWidth="1"/>
    <col min="15627" max="15627" width="14.7109375" customWidth="1"/>
    <col min="15628" max="15628" width="13.42578125" customWidth="1"/>
    <col min="15629" max="15629" width="18.5703125" customWidth="1"/>
    <col min="15630" max="15630" width="13.42578125" customWidth="1"/>
    <col min="15631" max="15631" width="14.85546875" customWidth="1"/>
    <col min="15632" max="15632" width="17.28515625" customWidth="1"/>
    <col min="15633" max="15633" width="14.85546875" customWidth="1"/>
    <col min="15634" max="15634" width="14.28515625" customWidth="1"/>
    <col min="15635" max="15635" width="14" customWidth="1"/>
    <col min="15636" max="15636" width="13.85546875" customWidth="1"/>
    <col min="15874" max="15874" width="35.42578125" customWidth="1"/>
    <col min="15875" max="15875" width="18.28515625" customWidth="1"/>
    <col min="15876" max="15876" width="16.85546875" customWidth="1"/>
    <col min="15877" max="15877" width="14.140625" customWidth="1"/>
    <col min="15878" max="15878" width="14.5703125" customWidth="1"/>
    <col min="15879" max="15879" width="15.7109375" customWidth="1"/>
    <col min="15880" max="15880" width="15.85546875" customWidth="1"/>
    <col min="15881" max="15881" width="14.28515625" customWidth="1"/>
    <col min="15882" max="15882" width="17.42578125" customWidth="1"/>
    <col min="15883" max="15883" width="14.7109375" customWidth="1"/>
    <col min="15884" max="15884" width="13.42578125" customWidth="1"/>
    <col min="15885" max="15885" width="18.5703125" customWidth="1"/>
    <col min="15886" max="15886" width="13.42578125" customWidth="1"/>
    <col min="15887" max="15887" width="14.85546875" customWidth="1"/>
    <col min="15888" max="15888" width="17.28515625" customWidth="1"/>
    <col min="15889" max="15889" width="14.85546875" customWidth="1"/>
    <col min="15890" max="15890" width="14.28515625" customWidth="1"/>
    <col min="15891" max="15891" width="14" customWidth="1"/>
    <col min="15892" max="15892" width="13.85546875" customWidth="1"/>
    <col min="16130" max="16130" width="35.42578125" customWidth="1"/>
    <col min="16131" max="16131" width="18.28515625" customWidth="1"/>
    <col min="16132" max="16132" width="16.85546875" customWidth="1"/>
    <col min="16133" max="16133" width="14.140625" customWidth="1"/>
    <col min="16134" max="16134" width="14.5703125" customWidth="1"/>
    <col min="16135" max="16135" width="15.7109375" customWidth="1"/>
    <col min="16136" max="16136" width="15.85546875" customWidth="1"/>
    <col min="16137" max="16137" width="14.28515625" customWidth="1"/>
    <col min="16138" max="16138" width="17.42578125" customWidth="1"/>
    <col min="16139" max="16139" width="14.7109375" customWidth="1"/>
    <col min="16140" max="16140" width="13.42578125" customWidth="1"/>
    <col min="16141" max="16141" width="18.5703125" customWidth="1"/>
    <col min="16142" max="16142" width="13.42578125" customWidth="1"/>
    <col min="16143" max="16143" width="14.85546875" customWidth="1"/>
    <col min="16144" max="16144" width="17.28515625" customWidth="1"/>
    <col min="16145" max="16145" width="14.85546875" customWidth="1"/>
    <col min="16146" max="16146" width="14.28515625" customWidth="1"/>
    <col min="16147" max="16147" width="14" customWidth="1"/>
    <col min="16148" max="16148" width="13.85546875" customWidth="1"/>
  </cols>
  <sheetData>
    <row r="1" spans="1:20" s="53" customFormat="1" ht="31.5" x14ac:dyDescent="0.5">
      <c r="A1" s="52" t="s">
        <v>0</v>
      </c>
      <c r="H1" s="52" t="s">
        <v>61</v>
      </c>
    </row>
    <row r="2" spans="1:20" ht="7.5" customHeight="1" x14ac:dyDescent="0.3">
      <c r="A2" s="1"/>
    </row>
    <row r="3" spans="1:20" ht="9.75" customHeight="1" x14ac:dyDescent="0.25"/>
    <row r="4" spans="1:20" s="3" customFormat="1" ht="63.75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20</v>
      </c>
    </row>
    <row r="5" spans="1:20" s="7" customFormat="1" ht="18.75" x14ac:dyDescent="0.3">
      <c r="A5" s="4">
        <v>1</v>
      </c>
      <c r="B5" s="5" t="s">
        <v>21</v>
      </c>
      <c r="C5" s="6">
        <f>SUM(D5:T5)</f>
        <v>740508.2</v>
      </c>
      <c r="D5" s="6">
        <v>57077.84</v>
      </c>
      <c r="E5" s="6">
        <f>377843.6+7629.92+14710.52</f>
        <v>400184.04</v>
      </c>
      <c r="F5" s="6">
        <v>47535.73</v>
      </c>
      <c r="G5" s="6">
        <v>2709.34</v>
      </c>
      <c r="H5" s="6">
        <v>66921.59</v>
      </c>
      <c r="I5" s="6">
        <v>33993.57</v>
      </c>
      <c r="J5" s="6">
        <v>-103.38</v>
      </c>
      <c r="K5" s="6"/>
      <c r="L5" s="6">
        <v>1255.5999999999999</v>
      </c>
      <c r="M5" s="6">
        <f>118640.08-873.12</f>
        <v>117766.96</v>
      </c>
      <c r="N5" s="6"/>
      <c r="O5" s="6"/>
      <c r="P5" s="6"/>
      <c r="Q5" s="6"/>
      <c r="R5" s="6"/>
      <c r="S5" s="6"/>
      <c r="T5" s="6">
        <f>15390.13-2223.22</f>
        <v>13166.91</v>
      </c>
    </row>
    <row r="6" spans="1:20" s="11" customFormat="1" ht="37.5" x14ac:dyDescent="0.3">
      <c r="A6" s="8">
        <v>2</v>
      </c>
      <c r="B6" s="9" t="s">
        <v>22</v>
      </c>
      <c r="C6" s="10">
        <f t="shared" ref="C6:C31" si="0">SUM(D6:T6)</f>
        <v>1779609.26</v>
      </c>
      <c r="D6" s="10">
        <f>SUM(D7:D18)</f>
        <v>133749.69</v>
      </c>
      <c r="E6" s="10">
        <f t="shared" ref="E6:T6" si="1">SUM(E7:E18)</f>
        <v>879567.2699999999</v>
      </c>
      <c r="F6" s="10">
        <f t="shared" si="1"/>
        <v>113009.59999999998</v>
      </c>
      <c r="G6" s="10">
        <f t="shared" si="1"/>
        <v>34792.230000000003</v>
      </c>
      <c r="H6" s="10">
        <f t="shared" si="1"/>
        <v>155167.94</v>
      </c>
      <c r="I6" s="10">
        <f t="shared" si="1"/>
        <v>83586.540000000008</v>
      </c>
      <c r="J6" s="10">
        <f t="shared" si="1"/>
        <v>16502.05</v>
      </c>
      <c r="K6" s="10">
        <f t="shared" si="1"/>
        <v>0</v>
      </c>
      <c r="L6" s="10">
        <f t="shared" si="1"/>
        <v>13554.010000000002</v>
      </c>
      <c r="M6" s="10">
        <f t="shared" si="1"/>
        <v>254252.71000000002</v>
      </c>
      <c r="N6" s="10">
        <f t="shared" si="1"/>
        <v>0</v>
      </c>
      <c r="O6" s="10">
        <f t="shared" si="1"/>
        <v>0</v>
      </c>
      <c r="P6" s="10">
        <f t="shared" si="1"/>
        <v>0</v>
      </c>
      <c r="Q6" s="10">
        <f t="shared" si="1"/>
        <v>0</v>
      </c>
      <c r="R6" s="10">
        <f t="shared" si="1"/>
        <v>0</v>
      </c>
      <c r="S6" s="10">
        <f t="shared" si="1"/>
        <v>0</v>
      </c>
      <c r="T6" s="10">
        <f t="shared" si="1"/>
        <v>95427.22</v>
      </c>
    </row>
    <row r="7" spans="1:20" s="7" customFormat="1" ht="18.75" x14ac:dyDescent="0.3">
      <c r="A7" s="4"/>
      <c r="B7" s="12">
        <v>43101</v>
      </c>
      <c r="C7" s="6">
        <f t="shared" si="0"/>
        <v>169174.03</v>
      </c>
      <c r="D7" s="6">
        <v>11072.6</v>
      </c>
      <c r="E7" s="6">
        <f>72802.51-266.16</f>
        <v>72536.349999999991</v>
      </c>
      <c r="F7" s="6">
        <v>9356.27</v>
      </c>
      <c r="G7" s="6">
        <v>2878.96</v>
      </c>
      <c r="H7" s="6">
        <v>12844.3</v>
      </c>
      <c r="I7" s="6">
        <v>6920.54</v>
      </c>
      <c r="J7" s="6">
        <v>944.88</v>
      </c>
      <c r="K7" s="6"/>
      <c r="L7" s="6">
        <v>775.84</v>
      </c>
      <c r="M7" s="6">
        <v>31434.94</v>
      </c>
      <c r="N7" s="6"/>
      <c r="O7" s="6"/>
      <c r="P7" s="6"/>
      <c r="Q7" s="6"/>
      <c r="R7" s="6"/>
      <c r="S7" s="6"/>
      <c r="T7" s="6">
        <f>11321.34+9088.01</f>
        <v>20409.349999999999</v>
      </c>
    </row>
    <row r="8" spans="1:20" s="7" customFormat="1" ht="18.75" x14ac:dyDescent="0.3">
      <c r="A8" s="4"/>
      <c r="B8" s="12">
        <v>43132</v>
      </c>
      <c r="C8" s="6">
        <f t="shared" si="0"/>
        <v>162904.99</v>
      </c>
      <c r="D8" s="6">
        <v>11072.6</v>
      </c>
      <c r="E8" s="6">
        <v>72802.509999999995</v>
      </c>
      <c r="F8" s="6">
        <v>9356.27</v>
      </c>
      <c r="G8" s="6">
        <v>2878.96</v>
      </c>
      <c r="H8" s="6">
        <v>12844.3</v>
      </c>
      <c r="I8" s="6">
        <v>6920.54</v>
      </c>
      <c r="J8" s="6">
        <v>944.88</v>
      </c>
      <c r="K8" s="6"/>
      <c r="L8" s="6">
        <v>775.84</v>
      </c>
      <c r="M8" s="6">
        <v>31434.94</v>
      </c>
      <c r="N8" s="6"/>
      <c r="O8" s="6"/>
      <c r="P8" s="6"/>
      <c r="Q8" s="6"/>
      <c r="R8" s="6"/>
      <c r="S8" s="6"/>
      <c r="T8" s="6">
        <f>8063.98+5810.17</f>
        <v>13874.15</v>
      </c>
    </row>
    <row r="9" spans="1:20" s="7" customFormat="1" ht="18.75" x14ac:dyDescent="0.3">
      <c r="A9" s="4"/>
      <c r="B9" s="12">
        <v>43160</v>
      </c>
      <c r="C9" s="6">
        <f t="shared" si="0"/>
        <v>163158.56000000003</v>
      </c>
      <c r="D9" s="6">
        <v>11076.38</v>
      </c>
      <c r="E9" s="6">
        <v>72828.38</v>
      </c>
      <c r="F9" s="6">
        <v>9359.4599999999991</v>
      </c>
      <c r="G9" s="6">
        <v>2879.96</v>
      </c>
      <c r="H9" s="6">
        <v>12848.71</v>
      </c>
      <c r="I9" s="6">
        <v>6922.89</v>
      </c>
      <c r="J9" s="6">
        <v>945.21</v>
      </c>
      <c r="K9" s="6"/>
      <c r="L9" s="6">
        <v>776.1</v>
      </c>
      <c r="M9" s="6">
        <v>31445.88</v>
      </c>
      <c r="N9" s="6"/>
      <c r="O9" s="6"/>
      <c r="P9" s="6"/>
      <c r="Q9" s="6"/>
      <c r="R9" s="6"/>
      <c r="S9" s="6"/>
      <c r="T9" s="6">
        <f>5950.7+8124.89</f>
        <v>14075.59</v>
      </c>
    </row>
    <row r="10" spans="1:20" s="7" customFormat="1" ht="18.75" x14ac:dyDescent="0.3">
      <c r="A10" s="4"/>
      <c r="B10" s="12">
        <v>43191</v>
      </c>
      <c r="C10" s="6">
        <f t="shared" si="0"/>
        <v>161208.25</v>
      </c>
      <c r="D10" s="6">
        <v>11100.47</v>
      </c>
      <c r="E10" s="6">
        <v>72985.149999999994</v>
      </c>
      <c r="F10" s="6">
        <v>9379.7900000000009</v>
      </c>
      <c r="G10" s="6">
        <v>2886.14</v>
      </c>
      <c r="H10" s="6">
        <v>12876.63</v>
      </c>
      <c r="I10" s="6">
        <v>6937.95</v>
      </c>
      <c r="J10" s="6">
        <v>947.2</v>
      </c>
      <c r="K10" s="6"/>
      <c r="L10" s="6">
        <v>777.75</v>
      </c>
      <c r="M10" s="6">
        <v>31513.919999999998</v>
      </c>
      <c r="N10" s="6"/>
      <c r="O10" s="6"/>
      <c r="P10" s="6"/>
      <c r="Q10" s="6"/>
      <c r="R10" s="6"/>
      <c r="S10" s="6"/>
      <c r="T10" s="6">
        <f>4610.37+7192.88</f>
        <v>11803.25</v>
      </c>
    </row>
    <row r="11" spans="1:20" s="7" customFormat="1" ht="18.75" x14ac:dyDescent="0.3">
      <c r="A11" s="4"/>
      <c r="B11" s="12">
        <v>43221</v>
      </c>
      <c r="C11" s="6">
        <f t="shared" si="0"/>
        <v>150660.5</v>
      </c>
      <c r="D11" s="6">
        <v>11072.6</v>
      </c>
      <c r="E11" s="6">
        <v>72802.509999999995</v>
      </c>
      <c r="F11" s="6">
        <v>9356.27</v>
      </c>
      <c r="G11" s="6">
        <v>2878.96</v>
      </c>
      <c r="H11" s="6">
        <v>12844.3</v>
      </c>
      <c r="I11" s="6">
        <v>6920.54</v>
      </c>
      <c r="J11" s="6">
        <v>944.88</v>
      </c>
      <c r="K11" s="6"/>
      <c r="L11" s="6">
        <v>775.84</v>
      </c>
      <c r="M11" s="6">
        <v>31434.94</v>
      </c>
      <c r="N11" s="6"/>
      <c r="O11" s="6"/>
      <c r="P11" s="6"/>
      <c r="Q11" s="6"/>
      <c r="R11" s="6"/>
      <c r="S11" s="6"/>
      <c r="T11" s="6">
        <f>557.66+1072</f>
        <v>1629.6599999999999</v>
      </c>
    </row>
    <row r="12" spans="1:20" s="7" customFormat="1" ht="18.75" x14ac:dyDescent="0.3">
      <c r="A12" s="4"/>
      <c r="B12" s="12">
        <v>43252</v>
      </c>
      <c r="C12" s="6">
        <f t="shared" si="0"/>
        <v>149030.84</v>
      </c>
      <c r="D12" s="6">
        <v>11072.6</v>
      </c>
      <c r="E12" s="6">
        <v>72802.509999999995</v>
      </c>
      <c r="F12" s="6">
        <v>9356.27</v>
      </c>
      <c r="G12" s="6">
        <v>2878.96</v>
      </c>
      <c r="H12" s="6">
        <v>12844.3</v>
      </c>
      <c r="I12" s="6">
        <v>6920.54</v>
      </c>
      <c r="J12" s="6">
        <v>944.88</v>
      </c>
      <c r="K12" s="6"/>
      <c r="L12" s="6">
        <v>775.84</v>
      </c>
      <c r="M12" s="6">
        <v>31434.94</v>
      </c>
      <c r="N12" s="6"/>
      <c r="O12" s="6"/>
      <c r="P12" s="6"/>
      <c r="Q12" s="6"/>
      <c r="R12" s="6"/>
      <c r="S12" s="6"/>
      <c r="T12" s="6"/>
    </row>
    <row r="13" spans="1:20" s="7" customFormat="1" ht="18.75" x14ac:dyDescent="0.3">
      <c r="A13" s="4"/>
      <c r="B13" s="12">
        <v>43282</v>
      </c>
      <c r="C13" s="6">
        <f t="shared" si="0"/>
        <v>117219.93</v>
      </c>
      <c r="D13" s="6">
        <v>11162.66</v>
      </c>
      <c r="E13" s="6">
        <v>73402.289999999994</v>
      </c>
      <c r="F13" s="6">
        <v>9431.9</v>
      </c>
      <c r="G13" s="6">
        <v>2902.72</v>
      </c>
      <c r="H13" s="6">
        <v>12949.17</v>
      </c>
      <c r="I13" s="6">
        <v>6976.37</v>
      </c>
      <c r="J13" s="6">
        <v>8.25</v>
      </c>
      <c r="K13" s="6"/>
      <c r="L13" s="6">
        <v>6.75</v>
      </c>
      <c r="M13" s="6">
        <v>259.86</v>
      </c>
      <c r="N13" s="6"/>
      <c r="O13" s="6"/>
      <c r="P13" s="6"/>
      <c r="Q13" s="6"/>
      <c r="R13" s="6"/>
      <c r="S13" s="6"/>
      <c r="T13" s="6">
        <f>61.71+58.25</f>
        <v>119.96000000000001</v>
      </c>
    </row>
    <row r="14" spans="1:20" s="7" customFormat="1" ht="18.75" x14ac:dyDescent="0.3">
      <c r="A14" s="4"/>
      <c r="B14" s="12">
        <v>43313</v>
      </c>
      <c r="C14" s="6">
        <f t="shared" si="0"/>
        <v>125041.92</v>
      </c>
      <c r="D14" s="6">
        <v>11199.03</v>
      </c>
      <c r="E14" s="6">
        <v>73637.33</v>
      </c>
      <c r="F14" s="6">
        <v>9462.92</v>
      </c>
      <c r="G14" s="6">
        <v>2911.95</v>
      </c>
      <c r="H14" s="6">
        <v>12990.8</v>
      </c>
      <c r="I14" s="6">
        <v>6998.77</v>
      </c>
      <c r="J14" s="6">
        <v>10.76</v>
      </c>
      <c r="K14" s="6"/>
      <c r="L14" s="6">
        <v>8.83</v>
      </c>
      <c r="M14" s="6">
        <f>360.71+7325.05</f>
        <v>7685.76</v>
      </c>
      <c r="N14" s="6"/>
      <c r="O14" s="6"/>
      <c r="P14" s="6"/>
      <c r="Q14" s="6"/>
      <c r="R14" s="6"/>
      <c r="S14" s="6"/>
      <c r="T14" s="6">
        <f>65.87+69.9</f>
        <v>135.77000000000001</v>
      </c>
    </row>
    <row r="15" spans="1:20" s="7" customFormat="1" ht="18.75" x14ac:dyDescent="0.3">
      <c r="A15" s="4"/>
      <c r="B15" s="12">
        <v>43344</v>
      </c>
      <c r="C15" s="6">
        <f t="shared" si="0"/>
        <v>125599.56</v>
      </c>
      <c r="D15" s="6">
        <v>11183.12</v>
      </c>
      <c r="E15" s="6">
        <v>73654.86</v>
      </c>
      <c r="F15" s="6">
        <v>9451.1200000000008</v>
      </c>
      <c r="G15" s="6">
        <v>2910.25</v>
      </c>
      <c r="H15" s="6">
        <v>12975.77</v>
      </c>
      <c r="I15" s="6">
        <v>6988.52</v>
      </c>
      <c r="J15" s="6">
        <v>8.8800000000000008</v>
      </c>
      <c r="K15" s="6"/>
      <c r="L15" s="6">
        <v>8.65</v>
      </c>
      <c r="M15" s="6">
        <f>355.59+7938.29</f>
        <v>8293.8799999999992</v>
      </c>
      <c r="N15" s="6"/>
      <c r="O15" s="6"/>
      <c r="P15" s="6"/>
      <c r="Q15" s="6"/>
      <c r="R15" s="6"/>
      <c r="S15" s="6"/>
      <c r="T15" s="6">
        <f>48.39+76.12</f>
        <v>124.51</v>
      </c>
    </row>
    <row r="16" spans="1:20" s="7" customFormat="1" ht="18.75" x14ac:dyDescent="0.3">
      <c r="A16" s="4"/>
      <c r="B16" s="12">
        <v>43374</v>
      </c>
      <c r="C16" s="6">
        <f t="shared" si="0"/>
        <v>124827.93</v>
      </c>
      <c r="D16" s="6">
        <v>11191.69</v>
      </c>
      <c r="E16" s="6">
        <v>73712.070000000007</v>
      </c>
      <c r="F16" s="6">
        <v>9454.59</v>
      </c>
      <c r="G16" s="6">
        <v>2915.4</v>
      </c>
      <c r="H16" s="6">
        <v>12986.84</v>
      </c>
      <c r="I16" s="6">
        <v>6993.25</v>
      </c>
      <c r="J16" s="6">
        <v>8.4499999999999993</v>
      </c>
      <c r="K16" s="6"/>
      <c r="L16" s="6">
        <v>8.11</v>
      </c>
      <c r="M16" s="6">
        <f>328.92+2.72</f>
        <v>331.64000000000004</v>
      </c>
      <c r="N16" s="6"/>
      <c r="O16" s="6"/>
      <c r="P16" s="6"/>
      <c r="Q16" s="6"/>
      <c r="R16" s="6"/>
      <c r="S16" s="6"/>
      <c r="T16" s="6">
        <f>2689.7+4536.19</f>
        <v>7225.8899999999994</v>
      </c>
    </row>
    <row r="17" spans="1:20" s="7" customFormat="1" ht="18.75" x14ac:dyDescent="0.3">
      <c r="A17" s="4"/>
      <c r="B17" s="12">
        <v>43405</v>
      </c>
      <c r="C17" s="6">
        <f t="shared" si="0"/>
        <v>163144.24000000002</v>
      </c>
      <c r="D17" s="6">
        <v>11316.38</v>
      </c>
      <c r="E17" s="6">
        <v>74501.58</v>
      </c>
      <c r="F17" s="6">
        <v>9559.15</v>
      </c>
      <c r="G17" s="6">
        <v>2947.21</v>
      </c>
      <c r="H17" s="6">
        <v>13131.85</v>
      </c>
      <c r="I17" s="6">
        <v>7070.57</v>
      </c>
      <c r="J17" s="6">
        <f>15.84+5401.62</f>
        <v>5417.46</v>
      </c>
      <c r="K17" s="6"/>
      <c r="L17" s="6">
        <f>13.97+4435.43</f>
        <v>4449.4000000000005</v>
      </c>
      <c r="M17" s="6">
        <f>565.2+22786.42</f>
        <v>23351.62</v>
      </c>
      <c r="N17" s="6"/>
      <c r="O17" s="6"/>
      <c r="P17" s="6"/>
      <c r="Q17" s="6"/>
      <c r="R17" s="6"/>
      <c r="S17" s="6"/>
      <c r="T17" s="6">
        <f>4030.98+7368.04</f>
        <v>11399.02</v>
      </c>
    </row>
    <row r="18" spans="1:20" s="7" customFormat="1" ht="18.75" x14ac:dyDescent="0.3">
      <c r="A18" s="4"/>
      <c r="B18" s="12">
        <v>43435</v>
      </c>
      <c r="C18" s="6">
        <f t="shared" si="0"/>
        <v>167638.51</v>
      </c>
      <c r="D18" s="6">
        <v>11229.56</v>
      </c>
      <c r="E18" s="6">
        <v>73901.73</v>
      </c>
      <c r="F18" s="6">
        <v>9485.59</v>
      </c>
      <c r="G18" s="6">
        <v>2922.76</v>
      </c>
      <c r="H18" s="6">
        <v>13030.97</v>
      </c>
      <c r="I18" s="6">
        <v>7016.06</v>
      </c>
      <c r="J18" s="6">
        <f>7.23+5369.09</f>
        <v>5376.32</v>
      </c>
      <c r="K18" s="6"/>
      <c r="L18" s="6">
        <f>6.3+4408.76</f>
        <v>4415.0600000000004</v>
      </c>
      <c r="M18" s="6">
        <f>263.64+25366.75</f>
        <v>25630.39</v>
      </c>
      <c r="N18" s="6"/>
      <c r="O18" s="6"/>
      <c r="P18" s="6"/>
      <c r="Q18" s="6"/>
      <c r="R18" s="6"/>
      <c r="S18" s="6"/>
      <c r="T18" s="6">
        <f>5452+9178.07</f>
        <v>14630.07</v>
      </c>
    </row>
    <row r="19" spans="1:20" s="7" customFormat="1" ht="28.5" customHeight="1" x14ac:dyDescent="0.3">
      <c r="A19" s="13">
        <v>3</v>
      </c>
      <c r="B19" s="14" t="s">
        <v>23</v>
      </c>
      <c r="C19" s="15">
        <f t="shared" si="0"/>
        <v>1631648.88</v>
      </c>
      <c r="D19" s="15">
        <f t="shared" ref="D19:T19" si="2">SUM(D20:D31)</f>
        <v>122820.18000000001</v>
      </c>
      <c r="E19" s="15">
        <f t="shared" si="2"/>
        <v>821703.79999999993</v>
      </c>
      <c r="F19" s="15">
        <f t="shared" si="2"/>
        <v>103839.81</v>
      </c>
      <c r="G19" s="15">
        <f t="shared" si="2"/>
        <v>28162.74</v>
      </c>
      <c r="H19" s="15">
        <f t="shared" si="2"/>
        <v>142843.26</v>
      </c>
      <c r="I19" s="15">
        <f t="shared" si="2"/>
        <v>76650.759999999995</v>
      </c>
      <c r="J19" s="15">
        <f t="shared" si="2"/>
        <v>9900.18</v>
      </c>
      <c r="K19" s="15">
        <f t="shared" si="2"/>
        <v>0</v>
      </c>
      <c r="L19" s="15">
        <f t="shared" si="2"/>
        <v>7937.4000000000015</v>
      </c>
      <c r="M19" s="15">
        <f t="shared" si="2"/>
        <v>257308.87000000002</v>
      </c>
      <c r="N19" s="15">
        <f t="shared" si="2"/>
        <v>0</v>
      </c>
      <c r="O19" s="15">
        <f t="shared" si="2"/>
        <v>0</v>
      </c>
      <c r="P19" s="15">
        <f t="shared" si="2"/>
        <v>0</v>
      </c>
      <c r="Q19" s="15">
        <f t="shared" si="2"/>
        <v>0</v>
      </c>
      <c r="R19" s="15">
        <f t="shared" si="2"/>
        <v>0</v>
      </c>
      <c r="S19" s="15">
        <f t="shared" si="2"/>
        <v>0</v>
      </c>
      <c r="T19" s="15">
        <f t="shared" si="2"/>
        <v>60481.880000000005</v>
      </c>
    </row>
    <row r="20" spans="1:20" s="7" customFormat="1" ht="18.75" x14ac:dyDescent="0.3">
      <c r="A20" s="4"/>
      <c r="B20" s="12">
        <v>43101</v>
      </c>
      <c r="C20" s="6">
        <f t="shared" si="0"/>
        <v>146912.21</v>
      </c>
      <c r="D20" s="6">
        <v>10412.9</v>
      </c>
      <c r="E20" s="6">
        <f>67574.37+4041.02+343.26</f>
        <v>71958.649999999994</v>
      </c>
      <c r="F20" s="6">
        <v>8830.5</v>
      </c>
      <c r="G20" s="6">
        <v>1268.3399999999999</v>
      </c>
      <c r="H20" s="6">
        <v>12048.08</v>
      </c>
      <c r="I20" s="6">
        <v>6585.44</v>
      </c>
      <c r="J20" s="6">
        <v>1214.96</v>
      </c>
      <c r="K20" s="6"/>
      <c r="L20" s="6">
        <v>977.69</v>
      </c>
      <c r="M20" s="6">
        <v>29063.119999999999</v>
      </c>
      <c r="N20" s="6"/>
      <c r="O20" s="6"/>
      <c r="P20" s="6"/>
      <c r="Q20" s="6"/>
      <c r="R20" s="6"/>
      <c r="S20" s="6"/>
      <c r="T20" s="6">
        <f>1371.19+3181.34</f>
        <v>4552.5300000000007</v>
      </c>
    </row>
    <row r="21" spans="1:20" s="7" customFormat="1" ht="18.75" x14ac:dyDescent="0.3">
      <c r="A21" s="4"/>
      <c r="B21" s="12">
        <v>43132</v>
      </c>
      <c r="C21" s="6">
        <f t="shared" si="0"/>
        <v>144560.94000000003</v>
      </c>
      <c r="D21" s="6">
        <v>10293.620000000001</v>
      </c>
      <c r="E21" s="6">
        <f>66206.41+657.63+1441.98</f>
        <v>68306.02</v>
      </c>
      <c r="F21" s="6">
        <v>8706.2199999999993</v>
      </c>
      <c r="G21" s="6">
        <v>2026.94</v>
      </c>
      <c r="H21" s="6">
        <v>11952.45</v>
      </c>
      <c r="I21" s="6">
        <v>6478.11</v>
      </c>
      <c r="J21" s="6">
        <v>496.35</v>
      </c>
      <c r="K21" s="6"/>
      <c r="L21" s="6">
        <v>320.51</v>
      </c>
      <c r="M21" s="6">
        <v>25262.36</v>
      </c>
      <c r="N21" s="6"/>
      <c r="O21" s="6"/>
      <c r="P21" s="6"/>
      <c r="Q21" s="6"/>
      <c r="R21" s="6"/>
      <c r="S21" s="6">
        <v>-406.77</v>
      </c>
      <c r="T21" s="6">
        <f>6503.75+4621.38</f>
        <v>11125.130000000001</v>
      </c>
    </row>
    <row r="22" spans="1:20" s="7" customFormat="1" ht="18.75" x14ac:dyDescent="0.3">
      <c r="A22" s="4"/>
      <c r="B22" s="12">
        <v>43160</v>
      </c>
      <c r="C22" s="6">
        <f t="shared" si="0"/>
        <v>120224.42000000001</v>
      </c>
      <c r="D22" s="6">
        <v>8448.93</v>
      </c>
      <c r="E22" s="6">
        <f>55162.87+687.54+236.92</f>
        <v>56087.33</v>
      </c>
      <c r="F22" s="6">
        <v>7139.24</v>
      </c>
      <c r="G22" s="6">
        <v>1929.96</v>
      </c>
      <c r="H22" s="6">
        <v>9800.7999999999993</v>
      </c>
      <c r="I22" s="6">
        <v>5280.66</v>
      </c>
      <c r="J22" s="6">
        <v>717.22</v>
      </c>
      <c r="K22" s="6"/>
      <c r="L22" s="6">
        <v>582.63</v>
      </c>
      <c r="M22" s="6">
        <v>23747.9</v>
      </c>
      <c r="N22" s="6"/>
      <c r="O22" s="6"/>
      <c r="P22" s="6"/>
      <c r="Q22" s="6"/>
      <c r="R22" s="6"/>
      <c r="S22" s="6"/>
      <c r="T22" s="6">
        <f>4617.37+1872.38</f>
        <v>6489.75</v>
      </c>
    </row>
    <row r="23" spans="1:20" s="7" customFormat="1" ht="18.75" x14ac:dyDescent="0.3">
      <c r="A23" s="4"/>
      <c r="B23" s="12">
        <v>43191</v>
      </c>
      <c r="C23" s="6">
        <f t="shared" si="0"/>
        <v>201793.75000000006</v>
      </c>
      <c r="D23" s="6">
        <v>14201.97</v>
      </c>
      <c r="E23" s="6">
        <f>92639.6+491.81+406.01</f>
        <v>93537.42</v>
      </c>
      <c r="F23" s="6">
        <v>12003.99</v>
      </c>
      <c r="G23" s="6">
        <v>3095.84</v>
      </c>
      <c r="H23" s="6">
        <v>16360.86</v>
      </c>
      <c r="I23" s="6">
        <v>9050.09</v>
      </c>
      <c r="J23" s="6">
        <v>1242.32</v>
      </c>
      <c r="K23" s="6"/>
      <c r="L23" s="6">
        <v>963.72</v>
      </c>
      <c r="M23" s="6">
        <v>40676.89</v>
      </c>
      <c r="N23" s="6"/>
      <c r="O23" s="6"/>
      <c r="P23" s="6"/>
      <c r="Q23" s="6"/>
      <c r="R23" s="6"/>
      <c r="S23" s="6">
        <v>16.39</v>
      </c>
      <c r="T23" s="6">
        <f>6971.73+3672.53</f>
        <v>10644.26</v>
      </c>
    </row>
    <row r="24" spans="1:20" s="7" customFormat="1" ht="18.75" x14ac:dyDescent="0.3">
      <c r="A24" s="4"/>
      <c r="B24" s="12">
        <v>43221</v>
      </c>
      <c r="C24" s="6">
        <f t="shared" si="0"/>
        <v>150910.43000000002</v>
      </c>
      <c r="D24" s="6">
        <v>10593.29</v>
      </c>
      <c r="E24" s="6">
        <f>67672.72+80.39+548.95</f>
        <v>68302.06</v>
      </c>
      <c r="F24" s="6">
        <v>8990.7199999999993</v>
      </c>
      <c r="G24" s="6">
        <v>2243.81</v>
      </c>
      <c r="H24" s="6">
        <v>12247.58</v>
      </c>
      <c r="I24" s="6">
        <v>6643.99</v>
      </c>
      <c r="J24" s="6">
        <v>1261.51</v>
      </c>
      <c r="K24" s="6"/>
      <c r="L24" s="6">
        <v>936.26</v>
      </c>
      <c r="M24" s="6">
        <v>29318.82</v>
      </c>
      <c r="N24" s="6"/>
      <c r="O24" s="6"/>
      <c r="P24" s="6"/>
      <c r="Q24" s="6"/>
      <c r="R24" s="6"/>
      <c r="S24" s="6">
        <v>7.0000000000000007E-2</v>
      </c>
      <c r="T24" s="6">
        <f>4573.99+5798.33</f>
        <v>10372.32</v>
      </c>
    </row>
    <row r="25" spans="1:20" s="7" customFormat="1" ht="18.75" x14ac:dyDescent="0.3">
      <c r="A25" s="4"/>
      <c r="B25" s="12">
        <v>43252</v>
      </c>
      <c r="C25" s="6">
        <f t="shared" si="0"/>
        <v>144767.19</v>
      </c>
      <c r="D25" s="6">
        <v>10728.84</v>
      </c>
      <c r="E25" s="6">
        <f>71334.82+202.29+31.05</f>
        <v>71568.160000000003</v>
      </c>
      <c r="F25" s="6">
        <v>9008.24</v>
      </c>
      <c r="G25" s="6">
        <v>2267.5500000000002</v>
      </c>
      <c r="H25" s="6">
        <v>12517.82</v>
      </c>
      <c r="I25" s="6">
        <v>6744.47</v>
      </c>
      <c r="J25" s="6">
        <v>524.75</v>
      </c>
      <c r="K25" s="6"/>
      <c r="L25" s="6">
        <v>410.73</v>
      </c>
      <c r="M25" s="6">
        <v>28107.200000000001</v>
      </c>
      <c r="N25" s="6"/>
      <c r="O25" s="6"/>
      <c r="P25" s="6"/>
      <c r="Q25" s="6"/>
      <c r="R25" s="6"/>
      <c r="S25" s="6"/>
      <c r="T25" s="6">
        <f>2086.75+802.68</f>
        <v>2889.43</v>
      </c>
    </row>
    <row r="26" spans="1:20" s="7" customFormat="1" ht="18.75" x14ac:dyDescent="0.3">
      <c r="A26" s="4"/>
      <c r="B26" s="12">
        <v>43282</v>
      </c>
      <c r="C26" s="6">
        <f t="shared" si="0"/>
        <v>130400.22999999998</v>
      </c>
      <c r="D26" s="6">
        <v>9687.2999999999993</v>
      </c>
      <c r="E26" s="6">
        <f>63526.2+15.53</f>
        <v>63541.729999999996</v>
      </c>
      <c r="F26" s="6">
        <v>8182.28</v>
      </c>
      <c r="G26" s="6">
        <v>2490.77</v>
      </c>
      <c r="H26" s="6">
        <v>11254.34</v>
      </c>
      <c r="I26" s="6">
        <v>5938.95</v>
      </c>
      <c r="J26" s="6">
        <v>789.62</v>
      </c>
      <c r="K26" s="6"/>
      <c r="L26" s="6">
        <v>668.42</v>
      </c>
      <c r="M26" s="6">
        <v>27193.7</v>
      </c>
      <c r="N26" s="6"/>
      <c r="O26" s="6"/>
      <c r="P26" s="6"/>
      <c r="Q26" s="6"/>
      <c r="R26" s="6"/>
      <c r="S26" s="6">
        <v>0.04</v>
      </c>
      <c r="T26" s="6">
        <v>653.08000000000004</v>
      </c>
    </row>
    <row r="27" spans="1:20" s="7" customFormat="1" ht="18.75" x14ac:dyDescent="0.3">
      <c r="A27" s="4"/>
      <c r="B27" s="12">
        <v>43313</v>
      </c>
      <c r="C27" s="6">
        <f t="shared" si="0"/>
        <v>105559.01000000001</v>
      </c>
      <c r="D27" s="6">
        <v>8927.5</v>
      </c>
      <c r="E27" s="6">
        <f>58742.01+260.33</f>
        <v>59002.340000000004</v>
      </c>
      <c r="F27" s="6">
        <v>7497.88</v>
      </c>
      <c r="G27" s="6">
        <v>2321.56</v>
      </c>
      <c r="H27" s="6">
        <v>10422.85</v>
      </c>
      <c r="I27" s="6">
        <v>5542.58</v>
      </c>
      <c r="J27" s="6">
        <v>330.97</v>
      </c>
      <c r="K27" s="6"/>
      <c r="L27" s="6">
        <v>275.89999999999998</v>
      </c>
      <c r="M27" s="6">
        <f>10383.81+47.97</f>
        <v>10431.779999999999</v>
      </c>
      <c r="N27" s="6"/>
      <c r="O27" s="6"/>
      <c r="P27" s="6"/>
      <c r="Q27" s="6"/>
      <c r="R27" s="6"/>
      <c r="S27" s="6">
        <v>134.52000000000001</v>
      </c>
      <c r="T27" s="6">
        <v>671.13</v>
      </c>
    </row>
    <row r="28" spans="1:20" s="7" customFormat="1" ht="18.75" x14ac:dyDescent="0.3">
      <c r="A28" s="4"/>
      <c r="B28" s="12">
        <v>43344</v>
      </c>
      <c r="C28" s="6">
        <f t="shared" si="0"/>
        <v>127041.67999999998</v>
      </c>
      <c r="D28" s="6">
        <v>10915.01</v>
      </c>
      <c r="E28" s="6">
        <v>72891.7</v>
      </c>
      <c r="F28" s="6">
        <v>9232.3700000000008</v>
      </c>
      <c r="G28" s="6">
        <v>2986.8</v>
      </c>
      <c r="H28" s="6">
        <v>12813.56</v>
      </c>
      <c r="I28" s="6">
        <v>6709</v>
      </c>
      <c r="J28" s="6">
        <v>176.26</v>
      </c>
      <c r="K28" s="6"/>
      <c r="L28" s="6">
        <v>147.05000000000001</v>
      </c>
      <c r="M28" s="6">
        <f>6348.41+3946.13</f>
        <v>10294.540000000001</v>
      </c>
      <c r="N28" s="6"/>
      <c r="O28" s="6"/>
      <c r="P28" s="6"/>
      <c r="Q28" s="6"/>
      <c r="R28" s="6"/>
      <c r="S28" s="6">
        <v>60.66</v>
      </c>
      <c r="T28" s="6">
        <v>814.73</v>
      </c>
    </row>
    <row r="29" spans="1:20" s="7" customFormat="1" ht="18.75" x14ac:dyDescent="0.3">
      <c r="A29" s="4"/>
      <c r="B29" s="12">
        <v>43374</v>
      </c>
      <c r="C29" s="6">
        <f t="shared" si="0"/>
        <v>120826.33999999998</v>
      </c>
      <c r="D29" s="6">
        <v>9864.94</v>
      </c>
      <c r="E29" s="6">
        <f>67752.23+429.17</f>
        <v>68181.399999999994</v>
      </c>
      <c r="F29" s="6">
        <v>8415.9599999999991</v>
      </c>
      <c r="G29" s="6">
        <v>2453.7199999999998</v>
      </c>
      <c r="H29" s="6">
        <v>11487.63</v>
      </c>
      <c r="I29" s="6">
        <v>6135.86</v>
      </c>
      <c r="J29" s="6">
        <v>191.93</v>
      </c>
      <c r="K29" s="6"/>
      <c r="L29" s="6">
        <v>204.42</v>
      </c>
      <c r="M29" s="6">
        <f>7579.09+5040.59</f>
        <v>12619.68</v>
      </c>
      <c r="N29" s="6"/>
      <c r="O29" s="6"/>
      <c r="P29" s="6"/>
      <c r="Q29" s="6"/>
      <c r="R29" s="6"/>
      <c r="S29" s="6">
        <v>195.09</v>
      </c>
      <c r="T29" s="6">
        <f>1060.72+14.99</f>
        <v>1075.71</v>
      </c>
    </row>
    <row r="30" spans="1:20" s="7" customFormat="1" ht="18.75" x14ac:dyDescent="0.3">
      <c r="A30" s="4"/>
      <c r="B30" s="12">
        <v>43405</v>
      </c>
      <c r="C30" s="6">
        <f t="shared" si="0"/>
        <v>105045.3</v>
      </c>
      <c r="D30" s="6">
        <v>8885.49</v>
      </c>
      <c r="E30" s="6">
        <v>61329.53</v>
      </c>
      <c r="F30" s="6">
        <v>7433.94</v>
      </c>
      <c r="G30" s="6">
        <v>2280.65</v>
      </c>
      <c r="H30" s="6">
        <v>10362.73</v>
      </c>
      <c r="I30" s="6">
        <v>5403.58</v>
      </c>
      <c r="J30" s="6">
        <f>58.85+42.15</f>
        <v>101</v>
      </c>
      <c r="K30" s="6"/>
      <c r="L30" s="6">
        <f>70.02+34.61</f>
        <v>104.63</v>
      </c>
      <c r="M30" s="6">
        <f>2874.75+2361.28</f>
        <v>5236.0300000000007</v>
      </c>
      <c r="N30" s="6"/>
      <c r="O30" s="6"/>
      <c r="P30" s="6"/>
      <c r="Q30" s="6"/>
      <c r="R30" s="6"/>
      <c r="S30" s="6"/>
      <c r="T30" s="6">
        <f>1507.01+2400.71</f>
        <v>3907.7200000000003</v>
      </c>
    </row>
    <row r="31" spans="1:20" s="7" customFormat="1" ht="19.5" thickBot="1" x14ac:dyDescent="0.35">
      <c r="A31" s="16"/>
      <c r="B31" s="17">
        <v>43435</v>
      </c>
      <c r="C31" s="18">
        <f t="shared" si="0"/>
        <v>133607.38</v>
      </c>
      <c r="D31" s="18">
        <v>9860.39</v>
      </c>
      <c r="E31" s="18">
        <v>66997.460000000006</v>
      </c>
      <c r="F31" s="18">
        <v>8398.4699999999993</v>
      </c>
      <c r="G31" s="18">
        <v>2796.8</v>
      </c>
      <c r="H31" s="18">
        <v>11574.56</v>
      </c>
      <c r="I31" s="18">
        <v>6138.03</v>
      </c>
      <c r="J31" s="18">
        <f>62.32+2790.97</f>
        <v>2853.29</v>
      </c>
      <c r="K31" s="18"/>
      <c r="L31" s="18">
        <f>53.65+2291.79</f>
        <v>2345.44</v>
      </c>
      <c r="M31" s="18">
        <f>2957.77+12399.08</f>
        <v>15356.85</v>
      </c>
      <c r="N31" s="18"/>
      <c r="O31" s="18"/>
      <c r="P31" s="18"/>
      <c r="Q31" s="18"/>
      <c r="R31" s="18"/>
      <c r="S31" s="18"/>
      <c r="T31" s="18">
        <f>3175.71+4110.38</f>
        <v>7286.09</v>
      </c>
    </row>
    <row r="32" spans="1:20" ht="35.25" thickBot="1" x14ac:dyDescent="0.35">
      <c r="A32" s="19">
        <v>4</v>
      </c>
      <c r="B32" s="20" t="s">
        <v>24</v>
      </c>
      <c r="C32" s="21">
        <f>C5+C6-C19</f>
        <v>888468.58000000007</v>
      </c>
      <c r="D32" s="21">
        <f>D5+D6-D19</f>
        <v>68007.349999999991</v>
      </c>
      <c r="E32" s="21">
        <f t="shared" ref="E32:T32" si="3">E5+E6-E19</f>
        <v>458047.50999999989</v>
      </c>
      <c r="F32" s="21">
        <f t="shared" si="3"/>
        <v>56705.51999999999</v>
      </c>
      <c r="G32" s="21">
        <f t="shared" si="3"/>
        <v>9338.8300000000054</v>
      </c>
      <c r="H32" s="21">
        <f t="shared" si="3"/>
        <v>79246.26999999999</v>
      </c>
      <c r="I32" s="21">
        <f t="shared" si="3"/>
        <v>40929.35000000002</v>
      </c>
      <c r="J32" s="21">
        <f t="shared" si="3"/>
        <v>6498.489999999998</v>
      </c>
      <c r="K32" s="21">
        <f t="shared" si="3"/>
        <v>0</v>
      </c>
      <c r="L32" s="21">
        <f t="shared" si="3"/>
        <v>6872.2100000000009</v>
      </c>
      <c r="M32" s="21">
        <f t="shared" si="3"/>
        <v>114710.80000000002</v>
      </c>
      <c r="N32" s="21">
        <f t="shared" si="3"/>
        <v>0</v>
      </c>
      <c r="O32" s="21">
        <f t="shared" si="3"/>
        <v>0</v>
      </c>
      <c r="P32" s="21">
        <f t="shared" si="3"/>
        <v>0</v>
      </c>
      <c r="Q32" s="21">
        <f t="shared" si="3"/>
        <v>0</v>
      </c>
      <c r="R32" s="21">
        <f t="shared" si="3"/>
        <v>0</v>
      </c>
      <c r="S32" s="21">
        <f t="shared" si="3"/>
        <v>0</v>
      </c>
      <c r="T32" s="22">
        <f t="shared" si="3"/>
        <v>48112.25</v>
      </c>
    </row>
    <row r="33" spans="1:20" ht="17.25" x14ac:dyDescent="0.3">
      <c r="A33" s="23"/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s="53" customFormat="1" ht="31.5" x14ac:dyDescent="0.5">
      <c r="A34" s="52" t="s">
        <v>80</v>
      </c>
      <c r="D34" s="54"/>
      <c r="E34" s="54"/>
      <c r="F34" s="54"/>
      <c r="G34" s="54"/>
      <c r="H34" s="54"/>
      <c r="I34" s="54"/>
      <c r="J34" s="54"/>
      <c r="K34" s="54"/>
      <c r="L34" s="54"/>
      <c r="M34" s="56" t="str">
        <f>H1</f>
        <v>г. Кохма, ул. Ивановская, д. 92</v>
      </c>
      <c r="N34" s="55"/>
      <c r="O34" s="54"/>
      <c r="P34" s="54"/>
      <c r="Q34" s="54"/>
      <c r="R34" s="54"/>
      <c r="S34" s="54"/>
      <c r="T34" s="55"/>
    </row>
    <row r="35" spans="1:20" ht="18.75" x14ac:dyDescent="0.3">
      <c r="A35" s="1"/>
      <c r="D35" s="26"/>
      <c r="E35" s="26"/>
      <c r="F35" s="26"/>
      <c r="G35" s="26"/>
      <c r="H35" s="26"/>
      <c r="I35" s="26"/>
      <c r="J35" s="26"/>
      <c r="K35" s="26"/>
      <c r="L35" s="26"/>
      <c r="M35" s="27"/>
      <c r="N35" s="27"/>
      <c r="O35" s="26"/>
      <c r="P35" s="26"/>
      <c r="Q35" s="26"/>
      <c r="R35" s="26"/>
      <c r="S35" s="26"/>
      <c r="T35" s="27"/>
    </row>
    <row r="36" spans="1:20" ht="60" x14ac:dyDescent="0.25">
      <c r="A36" s="2" t="s">
        <v>1</v>
      </c>
      <c r="B36" s="2" t="s">
        <v>2</v>
      </c>
      <c r="C36" s="2" t="s">
        <v>3</v>
      </c>
      <c r="D36" s="2" t="s">
        <v>4</v>
      </c>
      <c r="E36" s="2" t="s">
        <v>5</v>
      </c>
      <c r="F36" s="2" t="s">
        <v>6</v>
      </c>
      <c r="G36" s="2" t="s">
        <v>7</v>
      </c>
      <c r="H36" s="2" t="s">
        <v>8</v>
      </c>
      <c r="I36" s="2" t="s">
        <v>9</v>
      </c>
      <c r="J36" s="2" t="s">
        <v>10</v>
      </c>
      <c r="K36" s="2" t="s">
        <v>11</v>
      </c>
      <c r="L36" s="2" t="s">
        <v>12</v>
      </c>
      <c r="M36" s="2" t="s">
        <v>13</v>
      </c>
      <c r="N36" s="2" t="s">
        <v>14</v>
      </c>
      <c r="O36" s="2" t="s">
        <v>15</v>
      </c>
      <c r="P36" s="2" t="s">
        <v>16</v>
      </c>
      <c r="Q36" s="2" t="s">
        <v>17</v>
      </c>
      <c r="R36" s="2" t="s">
        <v>18</v>
      </c>
      <c r="S36" s="2" t="s">
        <v>19</v>
      </c>
      <c r="T36" s="2" t="s">
        <v>20</v>
      </c>
    </row>
    <row r="37" spans="1:20" ht="31.5" customHeight="1" x14ac:dyDescent="0.3">
      <c r="A37" s="28"/>
      <c r="B37" s="29" t="s">
        <v>25</v>
      </c>
      <c r="C37" s="6">
        <f>SUM(D37:T37)</f>
        <v>537511.5</v>
      </c>
      <c r="D37" s="6">
        <v>132311.04999999999</v>
      </c>
      <c r="E37" s="6">
        <v>405200.45</v>
      </c>
      <c r="F37" s="6"/>
      <c r="G37" s="6"/>
      <c r="H37" s="6"/>
      <c r="I37" s="6"/>
      <c r="J37" s="6"/>
      <c r="K37" s="6"/>
      <c r="L37" s="6"/>
      <c r="M37" s="30"/>
      <c r="N37" s="30"/>
      <c r="O37" s="6"/>
      <c r="P37" s="6"/>
      <c r="Q37" s="6"/>
      <c r="R37" s="6"/>
      <c r="S37" s="6"/>
      <c r="T37" s="30"/>
    </row>
    <row r="38" spans="1:20" ht="41.25" customHeight="1" x14ac:dyDescent="0.3">
      <c r="A38" s="58" t="s">
        <v>26</v>
      </c>
      <c r="B38" s="58"/>
      <c r="C38" s="31">
        <f>C6</f>
        <v>1779609.26</v>
      </c>
      <c r="D38" s="31">
        <f t="shared" ref="D38:T38" si="4">D6</f>
        <v>133749.69</v>
      </c>
      <c r="E38" s="31">
        <f t="shared" si="4"/>
        <v>879567.2699999999</v>
      </c>
      <c r="F38" s="31">
        <f t="shared" si="4"/>
        <v>113009.59999999998</v>
      </c>
      <c r="G38" s="31">
        <f t="shared" si="4"/>
        <v>34792.230000000003</v>
      </c>
      <c r="H38" s="31">
        <f t="shared" si="4"/>
        <v>155167.94</v>
      </c>
      <c r="I38" s="31">
        <f t="shared" si="4"/>
        <v>83586.540000000008</v>
      </c>
      <c r="J38" s="31">
        <f t="shared" si="4"/>
        <v>16502.05</v>
      </c>
      <c r="K38" s="31">
        <f t="shared" si="4"/>
        <v>0</v>
      </c>
      <c r="L38" s="31">
        <f t="shared" si="4"/>
        <v>13554.010000000002</v>
      </c>
      <c r="M38" s="31">
        <f t="shared" si="4"/>
        <v>254252.71000000002</v>
      </c>
      <c r="N38" s="31">
        <f t="shared" si="4"/>
        <v>0</v>
      </c>
      <c r="O38" s="31">
        <f t="shared" si="4"/>
        <v>0</v>
      </c>
      <c r="P38" s="31">
        <f t="shared" si="4"/>
        <v>0</v>
      </c>
      <c r="Q38" s="31">
        <f t="shared" si="4"/>
        <v>0</v>
      </c>
      <c r="R38" s="31">
        <f t="shared" si="4"/>
        <v>0</v>
      </c>
      <c r="S38" s="31">
        <f t="shared" si="4"/>
        <v>0</v>
      </c>
      <c r="T38" s="31">
        <f t="shared" si="4"/>
        <v>95427.22</v>
      </c>
    </row>
    <row r="39" spans="1:20" ht="29.25" customHeight="1" x14ac:dyDescent="0.3">
      <c r="A39" s="29">
        <v>5</v>
      </c>
      <c r="B39" s="29" t="s">
        <v>27</v>
      </c>
      <c r="C39" s="6">
        <f>SUM(D39:T39)</f>
        <v>1600886.2690999999</v>
      </c>
      <c r="D39" s="32">
        <f>D45</f>
        <v>180611.43</v>
      </c>
      <c r="E39" s="32">
        <f>D54+D44</f>
        <v>760989.74910000002</v>
      </c>
      <c r="F39" s="32">
        <f>D94</f>
        <v>99135.4</v>
      </c>
      <c r="G39" s="32">
        <f>D102</f>
        <v>28304.639999999999</v>
      </c>
      <c r="H39" s="32">
        <f>D106</f>
        <v>136500</v>
      </c>
      <c r="I39" s="32">
        <f>D111</f>
        <v>104903.19</v>
      </c>
      <c r="J39" s="32">
        <f>D115</f>
        <v>36088.71</v>
      </c>
      <c r="K39" s="32">
        <f>D119</f>
        <v>0</v>
      </c>
      <c r="L39" s="32">
        <f>D124</f>
        <v>29629.71</v>
      </c>
      <c r="M39" s="32">
        <f>D136</f>
        <v>137769.01</v>
      </c>
      <c r="N39" s="32">
        <f>D140</f>
        <v>0</v>
      </c>
      <c r="O39" s="32">
        <f>D144</f>
        <v>0</v>
      </c>
      <c r="P39" s="32">
        <f>D148</f>
        <v>0</v>
      </c>
      <c r="Q39" s="32">
        <f>D152</f>
        <v>0</v>
      </c>
      <c r="R39" s="32">
        <f>D156</f>
        <v>0</v>
      </c>
      <c r="S39" s="32">
        <f>D160</f>
        <v>0</v>
      </c>
      <c r="T39" s="30">
        <f>D164</f>
        <v>86954.43</v>
      </c>
    </row>
    <row r="40" spans="1:20" ht="27" customHeight="1" x14ac:dyDescent="0.3">
      <c r="A40" s="33">
        <v>6</v>
      </c>
      <c r="B40" s="33" t="s">
        <v>28</v>
      </c>
      <c r="C40" s="34">
        <f>C37+C38-C39</f>
        <v>716234.49089999986</v>
      </c>
      <c r="D40" s="34">
        <f t="shared" ref="D40:E40" si="5">D37+D38-D39</f>
        <v>85449.31</v>
      </c>
      <c r="E40" s="34">
        <f t="shared" si="5"/>
        <v>523777.97089999996</v>
      </c>
      <c r="F40" s="34">
        <f t="shared" ref="F40:T40" si="6">F38-F39</f>
        <v>13874.199999999983</v>
      </c>
      <c r="G40" s="34">
        <f t="shared" si="6"/>
        <v>6487.5900000000038</v>
      </c>
      <c r="H40" s="34">
        <f t="shared" si="6"/>
        <v>18667.940000000002</v>
      </c>
      <c r="I40" s="34">
        <f t="shared" si="6"/>
        <v>-21316.649999999994</v>
      </c>
      <c r="J40" s="34">
        <f t="shared" si="6"/>
        <v>-19586.66</v>
      </c>
      <c r="K40" s="34">
        <f t="shared" si="6"/>
        <v>0</v>
      </c>
      <c r="L40" s="34">
        <f t="shared" si="6"/>
        <v>-16075.699999999997</v>
      </c>
      <c r="M40" s="34">
        <f t="shared" si="6"/>
        <v>116483.70000000001</v>
      </c>
      <c r="N40" s="34">
        <f t="shared" si="6"/>
        <v>0</v>
      </c>
      <c r="O40" s="34">
        <f t="shared" si="6"/>
        <v>0</v>
      </c>
      <c r="P40" s="34">
        <f t="shared" si="6"/>
        <v>0</v>
      </c>
      <c r="Q40" s="34">
        <f t="shared" si="6"/>
        <v>0</v>
      </c>
      <c r="R40" s="34">
        <f t="shared" si="6"/>
        <v>0</v>
      </c>
      <c r="S40" s="34">
        <f t="shared" si="6"/>
        <v>0</v>
      </c>
      <c r="T40" s="34">
        <f t="shared" si="6"/>
        <v>8472.7900000000081</v>
      </c>
    </row>
    <row r="43" spans="1:20" ht="18.75" x14ac:dyDescent="0.3">
      <c r="A43" s="1" t="s">
        <v>29</v>
      </c>
      <c r="D43" s="26">
        <f>D45+D54+D94+D102+D106+D111+D115+D119+D124+D136+D140+D144+D148+D152+D156+D160+D164</f>
        <v>1585035.91</v>
      </c>
      <c r="E43" s="35"/>
    </row>
    <row r="44" spans="1:20" ht="19.5" thickBot="1" x14ac:dyDescent="0.35">
      <c r="A44" s="1" t="s">
        <v>62</v>
      </c>
      <c r="D44" s="35">
        <f>D43*0.01</f>
        <v>15850.3591</v>
      </c>
      <c r="E44" s="35"/>
    </row>
    <row r="45" spans="1:20" s="1" customFormat="1" ht="19.5" thickBot="1" x14ac:dyDescent="0.35">
      <c r="A45" s="59" t="s">
        <v>4</v>
      </c>
      <c r="B45" s="60"/>
      <c r="C45" s="60"/>
      <c r="D45" s="48">
        <f>SUM(D46:D52)</f>
        <v>180611.43</v>
      </c>
      <c r="E45" s="49"/>
    </row>
    <row r="46" spans="1:20" ht="15.75" x14ac:dyDescent="0.25">
      <c r="A46" s="47" t="s">
        <v>63</v>
      </c>
      <c r="D46" s="46">
        <v>11000</v>
      </c>
      <c r="E46" s="35"/>
    </row>
    <row r="47" spans="1:20" ht="15.75" x14ac:dyDescent="0.25">
      <c r="A47" s="47" t="s">
        <v>64</v>
      </c>
      <c r="D47" s="46">
        <v>18500</v>
      </c>
      <c r="E47" s="35"/>
    </row>
    <row r="48" spans="1:20" ht="15.75" x14ac:dyDescent="0.25">
      <c r="A48" s="47" t="s">
        <v>65</v>
      </c>
      <c r="D48" s="46">
        <v>37290</v>
      </c>
      <c r="E48" s="35"/>
    </row>
    <row r="49" spans="1:5" ht="15.75" x14ac:dyDescent="0.25">
      <c r="A49" s="47" t="s">
        <v>79</v>
      </c>
      <c r="D49" s="46">
        <f>13210.47+93000+7610.96</f>
        <v>113821.43000000001</v>
      </c>
      <c r="E49" s="35"/>
    </row>
    <row r="50" spans="1:5" ht="15.75" hidden="1" x14ac:dyDescent="0.25">
      <c r="A50" s="47"/>
      <c r="D50" s="46"/>
      <c r="E50" s="35"/>
    </row>
    <row r="51" spans="1:5" ht="15.75" hidden="1" x14ac:dyDescent="0.25">
      <c r="A51" s="47"/>
      <c r="D51" s="46"/>
      <c r="E51" s="35"/>
    </row>
    <row r="52" spans="1:5" ht="15.75" hidden="1" x14ac:dyDescent="0.25">
      <c r="A52" s="47"/>
      <c r="D52" s="46"/>
      <c r="E52" s="35"/>
    </row>
    <row r="53" spans="1:5" ht="16.5" thickBot="1" x14ac:dyDescent="0.3">
      <c r="A53" s="47"/>
      <c r="D53" s="35"/>
      <c r="E53" s="35"/>
    </row>
    <row r="54" spans="1:5" ht="19.5" thickBot="1" x14ac:dyDescent="0.35">
      <c r="A54" s="59" t="s">
        <v>5</v>
      </c>
      <c r="B54" s="60"/>
      <c r="C54" s="60"/>
      <c r="D54" s="50">
        <f>SUM(D55:D92)</f>
        <v>745139.39</v>
      </c>
      <c r="E54" s="35"/>
    </row>
    <row r="55" spans="1:5" x14ac:dyDescent="0.25">
      <c r="A55" s="36">
        <v>1</v>
      </c>
      <c r="B55" s="37" t="s">
        <v>30</v>
      </c>
      <c r="D55" s="27"/>
    </row>
    <row r="56" spans="1:5" x14ac:dyDescent="0.25">
      <c r="A56" s="38"/>
      <c r="B56" s="39" t="s">
        <v>31</v>
      </c>
      <c r="C56" s="35"/>
      <c r="D56" s="40">
        <v>364571.3</v>
      </c>
    </row>
    <row r="57" spans="1:5" x14ac:dyDescent="0.25">
      <c r="A57" s="38"/>
      <c r="B57" s="39" t="s">
        <v>32</v>
      </c>
      <c r="C57" s="35"/>
      <c r="D57" s="40">
        <v>6745.93</v>
      </c>
    </row>
    <row r="58" spans="1:5" hidden="1" x14ac:dyDescent="0.25">
      <c r="A58" s="38"/>
      <c r="B58" s="39" t="s">
        <v>78</v>
      </c>
      <c r="C58" s="35"/>
      <c r="D58" s="40"/>
    </row>
    <row r="59" spans="1:5" ht="30" x14ac:dyDescent="0.25">
      <c r="A59" s="38"/>
      <c r="B59" s="39" t="s">
        <v>33</v>
      </c>
      <c r="C59" s="35"/>
      <c r="D59" s="40">
        <v>6935.79</v>
      </c>
    </row>
    <row r="60" spans="1:5" x14ac:dyDescent="0.25">
      <c r="A60" s="38"/>
      <c r="B60" s="39" t="s">
        <v>34</v>
      </c>
      <c r="C60" s="35"/>
      <c r="D60" s="40">
        <v>3368.28</v>
      </c>
    </row>
    <row r="61" spans="1:5" x14ac:dyDescent="0.25">
      <c r="A61" s="38"/>
      <c r="B61" s="39" t="s">
        <v>66</v>
      </c>
      <c r="C61" s="35"/>
      <c r="D61" s="40">
        <v>8346.57</v>
      </c>
    </row>
    <row r="62" spans="1:5" x14ac:dyDescent="0.25">
      <c r="A62" s="38"/>
      <c r="B62" s="39" t="s">
        <v>35</v>
      </c>
      <c r="C62" s="35"/>
      <c r="D62" s="40">
        <f>2020.03+46.68</f>
        <v>2066.71</v>
      </c>
    </row>
    <row r="63" spans="1:5" x14ac:dyDescent="0.25">
      <c r="A63" s="38"/>
      <c r="B63" s="39" t="s">
        <v>36</v>
      </c>
      <c r="C63" s="35"/>
      <c r="D63" s="40">
        <f>32248.99+4593.45+3429.18</f>
        <v>40271.620000000003</v>
      </c>
    </row>
    <row r="64" spans="1:5" x14ac:dyDescent="0.25">
      <c r="A64" s="38"/>
      <c r="B64" s="39" t="s">
        <v>37</v>
      </c>
      <c r="C64" s="35"/>
      <c r="D64" s="40">
        <f>2655.45+8228.46+28.84+109.5</f>
        <v>11022.25</v>
      </c>
    </row>
    <row r="65" spans="1:5" x14ac:dyDescent="0.25">
      <c r="A65" s="38"/>
      <c r="B65" s="39" t="s">
        <v>38</v>
      </c>
      <c r="C65" s="35"/>
      <c r="D65" s="40">
        <v>154.9</v>
      </c>
    </row>
    <row r="66" spans="1:5" x14ac:dyDescent="0.25">
      <c r="A66" s="38"/>
      <c r="B66" s="39" t="s">
        <v>39</v>
      </c>
      <c r="C66" s="35"/>
      <c r="D66" s="40">
        <f>312.29+159.88</f>
        <v>472.17</v>
      </c>
    </row>
    <row r="67" spans="1:5" x14ac:dyDescent="0.25">
      <c r="A67" s="38"/>
      <c r="B67" s="39" t="s">
        <v>40</v>
      </c>
      <c r="C67" s="35"/>
      <c r="D67" s="40">
        <v>778.06</v>
      </c>
    </row>
    <row r="68" spans="1:5" ht="30" x14ac:dyDescent="0.25">
      <c r="A68" s="38"/>
      <c r="B68" s="39" t="s">
        <v>41</v>
      </c>
      <c r="C68" s="35"/>
      <c r="D68" s="40">
        <v>7433.4</v>
      </c>
    </row>
    <row r="69" spans="1:5" x14ac:dyDescent="0.25">
      <c r="A69" s="38"/>
      <c r="B69" s="39" t="s">
        <v>42</v>
      </c>
      <c r="C69" s="35"/>
      <c r="D69" s="40">
        <v>3374.72</v>
      </c>
    </row>
    <row r="70" spans="1:5" x14ac:dyDescent="0.25">
      <c r="A70" s="38"/>
      <c r="B70" s="39" t="s">
        <v>43</v>
      </c>
      <c r="C70" s="35"/>
      <c r="D70" s="40">
        <v>111.51</v>
      </c>
    </row>
    <row r="71" spans="1:5" ht="30" x14ac:dyDescent="0.25">
      <c r="A71" s="38"/>
      <c r="B71" s="39" t="s">
        <v>44</v>
      </c>
      <c r="C71" s="35"/>
      <c r="D71" s="40">
        <v>856.57</v>
      </c>
    </row>
    <row r="72" spans="1:5" x14ac:dyDescent="0.25">
      <c r="A72" s="38"/>
      <c r="B72" s="39" t="s">
        <v>45</v>
      </c>
      <c r="C72" s="35"/>
      <c r="D72" s="40">
        <v>455.82</v>
      </c>
    </row>
    <row r="73" spans="1:5" x14ac:dyDescent="0.25">
      <c r="A73" s="38"/>
      <c r="B73" s="39" t="s">
        <v>46</v>
      </c>
      <c r="C73" s="35"/>
      <c r="D73" s="40">
        <f>103.74+62.24+37.39</f>
        <v>203.37</v>
      </c>
      <c r="E73" s="27"/>
    </row>
    <row r="74" spans="1:5" x14ac:dyDescent="0.25">
      <c r="A74" s="38"/>
      <c r="B74" s="39" t="s">
        <v>47</v>
      </c>
      <c r="C74" s="35"/>
      <c r="D74" s="40">
        <v>17864.3</v>
      </c>
    </row>
    <row r="75" spans="1:5" x14ac:dyDescent="0.25">
      <c r="A75" s="38"/>
      <c r="B75" s="39" t="s">
        <v>48</v>
      </c>
      <c r="C75" s="35"/>
      <c r="D75" s="40">
        <v>25.06</v>
      </c>
    </row>
    <row r="76" spans="1:5" x14ac:dyDescent="0.25">
      <c r="A76" s="38"/>
      <c r="B76" s="39" t="s">
        <v>49</v>
      </c>
      <c r="C76" s="35"/>
      <c r="D76" s="40">
        <v>3734.68</v>
      </c>
    </row>
    <row r="77" spans="1:5" hidden="1" x14ac:dyDescent="0.25">
      <c r="A77" s="38"/>
      <c r="B77" s="39"/>
      <c r="C77" s="35"/>
      <c r="D77" s="35"/>
    </row>
    <row r="78" spans="1:5" x14ac:dyDescent="0.25">
      <c r="A78" s="38"/>
      <c r="B78" s="43"/>
      <c r="C78" s="35"/>
      <c r="D78" s="35"/>
    </row>
    <row r="79" spans="1:5" x14ac:dyDescent="0.25">
      <c r="A79" s="36" t="s">
        <v>51</v>
      </c>
      <c r="B79" s="37" t="s">
        <v>52</v>
      </c>
      <c r="C79" s="35"/>
      <c r="D79" s="27"/>
    </row>
    <row r="80" spans="1:5" ht="30" x14ac:dyDescent="0.25">
      <c r="A80" s="37"/>
      <c r="B80" s="39" t="s">
        <v>53</v>
      </c>
      <c r="C80" s="35"/>
      <c r="D80" s="27">
        <v>180149.68</v>
      </c>
    </row>
    <row r="81" spans="1:4" ht="30" x14ac:dyDescent="0.25">
      <c r="B81" s="39" t="s">
        <v>50</v>
      </c>
      <c r="C81" s="35"/>
      <c r="D81" s="35">
        <v>25070.27</v>
      </c>
    </row>
    <row r="82" spans="1:4" ht="60" x14ac:dyDescent="0.25">
      <c r="B82" s="39" t="s">
        <v>54</v>
      </c>
      <c r="C82" s="35"/>
      <c r="D82" s="35">
        <v>529.16</v>
      </c>
    </row>
    <row r="83" spans="1:4" ht="30" hidden="1" x14ac:dyDescent="0.25">
      <c r="B83" s="39" t="s">
        <v>55</v>
      </c>
      <c r="C83" s="35"/>
      <c r="D83" s="35"/>
    </row>
    <row r="84" spans="1:4" ht="30" hidden="1" x14ac:dyDescent="0.25">
      <c r="B84" s="39" t="s">
        <v>56</v>
      </c>
      <c r="C84" s="35"/>
      <c r="D84" s="35"/>
    </row>
    <row r="85" spans="1:4" x14ac:dyDescent="0.25">
      <c r="B85" s="39" t="s">
        <v>57</v>
      </c>
      <c r="C85" s="35"/>
      <c r="D85" s="35">
        <v>6888</v>
      </c>
    </row>
    <row r="86" spans="1:4" ht="30" hidden="1" x14ac:dyDescent="0.25">
      <c r="B86" s="39" t="s">
        <v>58</v>
      </c>
      <c r="C86" s="35"/>
      <c r="D86" s="35"/>
    </row>
    <row r="87" spans="1:4" hidden="1" x14ac:dyDescent="0.25">
      <c r="B87" t="s">
        <v>59</v>
      </c>
      <c r="C87" s="35"/>
      <c r="D87" s="35"/>
    </row>
    <row r="88" spans="1:4" x14ac:dyDescent="0.25">
      <c r="B88" s="39" t="s">
        <v>67</v>
      </c>
      <c r="C88" s="35"/>
      <c r="D88" s="35">
        <v>12000</v>
      </c>
    </row>
    <row r="89" spans="1:4" ht="30" x14ac:dyDescent="0.25">
      <c r="B89" s="39" t="s">
        <v>68</v>
      </c>
      <c r="C89" s="35"/>
      <c r="D89" s="35">
        <v>5530</v>
      </c>
    </row>
    <row r="90" spans="1:4" x14ac:dyDescent="0.25">
      <c r="B90" t="s">
        <v>60</v>
      </c>
      <c r="C90" s="35"/>
      <c r="D90" s="35">
        <f>33037+3127.8+14.47</f>
        <v>36179.270000000004</v>
      </c>
    </row>
    <row r="91" spans="1:4" hidden="1" x14ac:dyDescent="0.25">
      <c r="C91" s="35"/>
      <c r="D91" s="35"/>
    </row>
    <row r="92" spans="1:4" hidden="1" x14ac:dyDescent="0.25">
      <c r="C92" s="35"/>
      <c r="D92" s="35"/>
    </row>
    <row r="93" spans="1:4" ht="15.75" thickBot="1" x14ac:dyDescent="0.3">
      <c r="C93" s="35"/>
      <c r="D93" s="35"/>
    </row>
    <row r="94" spans="1:4" ht="19.5" thickBot="1" x14ac:dyDescent="0.35">
      <c r="A94" s="59" t="s">
        <v>6</v>
      </c>
      <c r="B94" s="60"/>
      <c r="C94" s="60"/>
      <c r="D94" s="45">
        <f>SUM(D95:D101)</f>
        <v>99135.4</v>
      </c>
    </row>
    <row r="95" spans="1:4" x14ac:dyDescent="0.25">
      <c r="A95" t="s">
        <v>69</v>
      </c>
      <c r="C95" s="35"/>
      <c r="D95" s="35">
        <v>85239.83</v>
      </c>
    </row>
    <row r="96" spans="1:4" x14ac:dyDescent="0.25">
      <c r="A96" t="s">
        <v>71</v>
      </c>
      <c r="C96" s="35"/>
      <c r="D96" s="35">
        <v>176.37</v>
      </c>
    </row>
    <row r="97" spans="1:5" x14ac:dyDescent="0.25">
      <c r="A97" t="s">
        <v>70</v>
      </c>
      <c r="C97" s="35"/>
      <c r="D97" s="35">
        <v>5536.32</v>
      </c>
    </row>
    <row r="98" spans="1:5" x14ac:dyDescent="0.25">
      <c r="A98" t="s">
        <v>72</v>
      </c>
      <c r="C98" s="35"/>
      <c r="D98" s="35">
        <v>8182.88</v>
      </c>
    </row>
    <row r="99" spans="1:5" hidden="1" x14ac:dyDescent="0.25">
      <c r="C99" s="35"/>
      <c r="D99" s="35"/>
    </row>
    <row r="100" spans="1:5" hidden="1" x14ac:dyDescent="0.25">
      <c r="C100" s="35"/>
      <c r="D100" s="35"/>
    </row>
    <row r="101" spans="1:5" ht="15.75" thickBot="1" x14ac:dyDescent="0.3">
      <c r="A101" s="38"/>
      <c r="B101" s="39"/>
      <c r="C101" s="35"/>
      <c r="D101" s="35"/>
    </row>
    <row r="102" spans="1:5" ht="15.75" thickBot="1" x14ac:dyDescent="0.3">
      <c r="A102" s="44" t="s">
        <v>7</v>
      </c>
      <c r="B102" s="41"/>
      <c r="C102" s="42"/>
      <c r="D102" s="45">
        <v>28304.639999999999</v>
      </c>
    </row>
    <row r="103" spans="1:5" ht="15.75" thickBot="1" x14ac:dyDescent="0.3">
      <c r="A103" s="38"/>
      <c r="B103" s="39"/>
      <c r="C103" s="35"/>
      <c r="D103" s="35"/>
    </row>
    <row r="104" spans="1:5" hidden="1" x14ac:dyDescent="0.25">
      <c r="A104" s="38"/>
      <c r="B104" s="39"/>
      <c r="C104" s="35"/>
      <c r="D104" s="35"/>
    </row>
    <row r="105" spans="1:5" ht="15.75" hidden="1" thickBot="1" x14ac:dyDescent="0.3">
      <c r="A105" s="38"/>
      <c r="B105" s="39"/>
      <c r="C105" s="35"/>
      <c r="D105" s="35"/>
    </row>
    <row r="106" spans="1:5" ht="15.75" thickBot="1" x14ac:dyDescent="0.3">
      <c r="A106" s="44" t="s">
        <v>8</v>
      </c>
      <c r="B106" s="41"/>
      <c r="C106" s="42"/>
      <c r="D106" s="45">
        <f>SUM(D107:D110)</f>
        <v>136500</v>
      </c>
    </row>
    <row r="107" spans="1:5" x14ac:dyDescent="0.25">
      <c r="A107" s="51" t="s">
        <v>73</v>
      </c>
      <c r="B107" s="39"/>
      <c r="C107" s="35"/>
      <c r="D107" s="35">
        <v>1500</v>
      </c>
    </row>
    <row r="108" spans="1:5" x14ac:dyDescent="0.25">
      <c r="A108" s="51" t="s">
        <v>74</v>
      </c>
      <c r="B108" s="39"/>
      <c r="C108" s="35"/>
      <c r="D108" s="35">
        <v>126000</v>
      </c>
    </row>
    <row r="109" spans="1:5" x14ac:dyDescent="0.25">
      <c r="A109" s="51" t="s">
        <v>75</v>
      </c>
      <c r="B109" s="39"/>
      <c r="C109" s="35"/>
      <c r="D109" s="35">
        <v>9000</v>
      </c>
    </row>
    <row r="110" spans="1:5" ht="15.75" thickBot="1" x14ac:dyDescent="0.3">
      <c r="A110" s="38"/>
      <c r="B110" s="39"/>
      <c r="C110" s="35"/>
      <c r="D110" s="35"/>
    </row>
    <row r="111" spans="1:5" ht="15.75" thickBot="1" x14ac:dyDescent="0.3">
      <c r="A111" s="44" t="s">
        <v>9</v>
      </c>
      <c r="B111" s="41"/>
      <c r="C111" s="42"/>
      <c r="D111" s="45">
        <f>SUM(D112:D114)</f>
        <v>104903.19</v>
      </c>
    </row>
    <row r="112" spans="1:5" x14ac:dyDescent="0.25">
      <c r="A112" s="51" t="s">
        <v>76</v>
      </c>
      <c r="B112" s="39"/>
      <c r="C112" s="35"/>
      <c r="D112" s="35">
        <v>101569</v>
      </c>
      <c r="E112" s="27"/>
    </row>
    <row r="113" spans="1:4" x14ac:dyDescent="0.25">
      <c r="A113" s="51" t="s">
        <v>77</v>
      </c>
      <c r="B113" s="39"/>
      <c r="C113" s="35"/>
      <c r="D113" s="35">
        <v>3334.19</v>
      </c>
    </row>
    <row r="114" spans="1:4" ht="15.75" thickBot="1" x14ac:dyDescent="0.3">
      <c r="A114" s="38"/>
      <c r="B114" s="39"/>
      <c r="C114" s="35"/>
      <c r="D114" s="35"/>
    </row>
    <row r="115" spans="1:4" ht="15.75" thickBot="1" x14ac:dyDescent="0.3">
      <c r="A115" s="44" t="s">
        <v>10</v>
      </c>
      <c r="B115" s="41"/>
      <c r="C115" s="42"/>
      <c r="D115" s="45">
        <v>36088.71</v>
      </c>
    </row>
    <row r="116" spans="1:4" x14ac:dyDescent="0.25">
      <c r="A116" s="38"/>
      <c r="B116" s="39"/>
      <c r="C116" s="35"/>
      <c r="D116" s="35"/>
    </row>
    <row r="117" spans="1:4" hidden="1" x14ac:dyDescent="0.25">
      <c r="A117" s="38"/>
      <c r="B117" s="43"/>
      <c r="C117" s="35"/>
      <c r="D117" s="35"/>
    </row>
    <row r="118" spans="1:4" ht="15.75" hidden="1" thickBot="1" x14ac:dyDescent="0.3">
      <c r="A118" s="36"/>
      <c r="B118" s="37"/>
      <c r="C118" s="35"/>
      <c r="D118" s="27"/>
    </row>
    <row r="119" spans="1:4" ht="15.75" hidden="1" thickBot="1" x14ac:dyDescent="0.3">
      <c r="A119" s="44" t="s">
        <v>11</v>
      </c>
      <c r="B119" s="41"/>
      <c r="C119" s="42"/>
      <c r="D119" s="45"/>
    </row>
    <row r="120" spans="1:4" hidden="1" x14ac:dyDescent="0.25">
      <c r="B120" s="39"/>
      <c r="C120" s="35"/>
      <c r="D120" s="35"/>
    </row>
    <row r="121" spans="1:4" hidden="1" x14ac:dyDescent="0.25">
      <c r="B121" s="39"/>
      <c r="C121" s="35"/>
      <c r="D121" s="35"/>
    </row>
    <row r="122" spans="1:4" hidden="1" x14ac:dyDescent="0.25">
      <c r="B122" s="39"/>
      <c r="C122" s="35"/>
      <c r="D122" s="35"/>
    </row>
    <row r="123" spans="1:4" ht="15.75" thickBot="1" x14ac:dyDescent="0.3">
      <c r="B123" s="39"/>
      <c r="C123" s="35"/>
      <c r="D123" s="35"/>
    </row>
    <row r="124" spans="1:4" ht="15.75" thickBot="1" x14ac:dyDescent="0.3">
      <c r="A124" s="44" t="s">
        <v>12</v>
      </c>
      <c r="B124" s="41"/>
      <c r="C124" s="42"/>
      <c r="D124" s="45">
        <v>29629.71</v>
      </c>
    </row>
    <row r="125" spans="1:4" x14ac:dyDescent="0.25">
      <c r="B125" s="39"/>
      <c r="C125" s="35"/>
      <c r="D125" s="35"/>
    </row>
    <row r="126" spans="1:4" hidden="1" x14ac:dyDescent="0.25">
      <c r="C126" s="35"/>
      <c r="D126" s="35"/>
    </row>
    <row r="127" spans="1:4" hidden="1" x14ac:dyDescent="0.25">
      <c r="B127" s="39"/>
      <c r="C127" s="35"/>
      <c r="D127" s="35"/>
    </row>
    <row r="128" spans="1:4" hidden="1" x14ac:dyDescent="0.25">
      <c r="B128" s="39"/>
      <c r="C128" s="35"/>
      <c r="D128" s="35"/>
    </row>
    <row r="129" spans="1:4" hidden="1" x14ac:dyDescent="0.25">
      <c r="C129" s="35"/>
      <c r="D129" s="35"/>
    </row>
    <row r="130" spans="1:4" hidden="1" x14ac:dyDescent="0.25">
      <c r="C130" s="35"/>
      <c r="D130" s="35"/>
    </row>
    <row r="131" spans="1:4" hidden="1" x14ac:dyDescent="0.25">
      <c r="C131" s="35"/>
      <c r="D131" s="35"/>
    </row>
    <row r="132" spans="1:4" hidden="1" x14ac:dyDescent="0.25">
      <c r="C132" s="35"/>
      <c r="D132" s="35"/>
    </row>
    <row r="133" spans="1:4" hidden="1" x14ac:dyDescent="0.25">
      <c r="C133" s="35"/>
      <c r="D133" s="27"/>
    </row>
    <row r="134" spans="1:4" hidden="1" x14ac:dyDescent="0.25">
      <c r="C134" s="35"/>
      <c r="D134" s="35"/>
    </row>
    <row r="135" spans="1:4" ht="15.75" thickBot="1" x14ac:dyDescent="0.3">
      <c r="C135" s="35"/>
      <c r="D135" s="35"/>
    </row>
    <row r="136" spans="1:4" ht="15.75" thickBot="1" x14ac:dyDescent="0.3">
      <c r="A136" s="44" t="s">
        <v>13</v>
      </c>
      <c r="B136" s="41"/>
      <c r="C136" s="42"/>
      <c r="D136" s="45">
        <v>137769.01</v>
      </c>
    </row>
    <row r="137" spans="1:4" x14ac:dyDescent="0.25">
      <c r="A137" s="57"/>
      <c r="B137" s="57"/>
      <c r="C137" s="57"/>
      <c r="D137" s="27"/>
    </row>
    <row r="138" spans="1:4" hidden="1" x14ac:dyDescent="0.25">
      <c r="B138" s="39"/>
      <c r="C138" s="35"/>
      <c r="D138" s="35"/>
    </row>
    <row r="139" spans="1:4" ht="15.75" hidden="1" thickBot="1" x14ac:dyDescent="0.3">
      <c r="B139" s="39"/>
      <c r="C139" s="35"/>
      <c r="D139" s="35"/>
    </row>
    <row r="140" spans="1:4" ht="15.75" hidden="1" thickBot="1" x14ac:dyDescent="0.3">
      <c r="A140" s="44" t="s">
        <v>14</v>
      </c>
      <c r="B140" s="41"/>
      <c r="C140" s="42"/>
      <c r="D140" s="45"/>
    </row>
    <row r="141" spans="1:4" hidden="1" x14ac:dyDescent="0.25">
      <c r="B141" s="39"/>
      <c r="C141" s="35"/>
      <c r="D141" s="35"/>
    </row>
    <row r="142" spans="1:4" hidden="1" x14ac:dyDescent="0.25">
      <c r="B142" s="39"/>
      <c r="C142" s="35"/>
      <c r="D142" s="35"/>
    </row>
    <row r="143" spans="1:4" ht="15.75" hidden="1" thickBot="1" x14ac:dyDescent="0.3">
      <c r="B143" s="39"/>
      <c r="C143" s="35"/>
      <c r="D143" s="35"/>
    </row>
    <row r="144" spans="1:4" ht="15.75" hidden="1" thickBot="1" x14ac:dyDescent="0.3">
      <c r="A144" s="44" t="s">
        <v>15</v>
      </c>
      <c r="B144" s="41"/>
      <c r="C144" s="42"/>
      <c r="D144" s="45"/>
    </row>
    <row r="145" spans="1:4" hidden="1" x14ac:dyDescent="0.25">
      <c r="C145" s="35"/>
      <c r="D145" s="35"/>
    </row>
    <row r="146" spans="1:4" hidden="1" x14ac:dyDescent="0.25">
      <c r="C146" s="35"/>
      <c r="D146" s="35"/>
    </row>
    <row r="147" spans="1:4" ht="15.75" hidden="1" thickBot="1" x14ac:dyDescent="0.3">
      <c r="A147" s="57"/>
      <c r="B147" s="57"/>
      <c r="C147" s="57"/>
      <c r="D147" s="27"/>
    </row>
    <row r="148" spans="1:4" ht="15.75" hidden="1" thickBot="1" x14ac:dyDescent="0.3">
      <c r="A148" s="44" t="s">
        <v>16</v>
      </c>
      <c r="B148" s="41"/>
      <c r="C148" s="42"/>
      <c r="D148" s="45"/>
    </row>
    <row r="149" spans="1:4" hidden="1" x14ac:dyDescent="0.25">
      <c r="C149" s="35"/>
      <c r="D149" s="35"/>
    </row>
    <row r="150" spans="1:4" hidden="1" x14ac:dyDescent="0.25">
      <c r="C150" s="35"/>
      <c r="D150" s="35"/>
    </row>
    <row r="151" spans="1:4" ht="15.75" hidden="1" thickBot="1" x14ac:dyDescent="0.3">
      <c r="A151" s="57"/>
      <c r="B151" s="57"/>
      <c r="C151" s="57"/>
      <c r="D151" s="27"/>
    </row>
    <row r="152" spans="1:4" ht="15.75" hidden="1" thickBot="1" x14ac:dyDescent="0.3">
      <c r="A152" s="44" t="s">
        <v>17</v>
      </c>
      <c r="B152" s="41"/>
      <c r="C152" s="42"/>
      <c r="D152" s="45"/>
    </row>
    <row r="153" spans="1:4" hidden="1" x14ac:dyDescent="0.25">
      <c r="C153" s="35"/>
      <c r="D153" s="35"/>
    </row>
    <row r="154" spans="1:4" hidden="1" x14ac:dyDescent="0.25">
      <c r="C154" s="35"/>
      <c r="D154" s="35"/>
    </row>
    <row r="155" spans="1:4" ht="15.75" hidden="1" thickBot="1" x14ac:dyDescent="0.3">
      <c r="A155" s="57"/>
      <c r="B155" s="57"/>
      <c r="C155" s="57"/>
      <c r="D155" s="27"/>
    </row>
    <row r="156" spans="1:4" ht="15.75" hidden="1" thickBot="1" x14ac:dyDescent="0.3">
      <c r="A156" s="44" t="s">
        <v>18</v>
      </c>
      <c r="B156" s="41"/>
      <c r="C156" s="42"/>
      <c r="D156" s="45"/>
    </row>
    <row r="157" spans="1:4" hidden="1" x14ac:dyDescent="0.25">
      <c r="C157" s="35"/>
      <c r="D157" s="35"/>
    </row>
    <row r="158" spans="1:4" hidden="1" x14ac:dyDescent="0.25">
      <c r="C158" s="35"/>
      <c r="D158" s="35"/>
    </row>
    <row r="159" spans="1:4" ht="15.75" hidden="1" thickBot="1" x14ac:dyDescent="0.3">
      <c r="A159" s="57"/>
      <c r="B159" s="57"/>
      <c r="C159" s="57"/>
      <c r="D159" s="27"/>
    </row>
    <row r="160" spans="1:4" ht="15.75" hidden="1" thickBot="1" x14ac:dyDescent="0.3">
      <c r="A160" s="44" t="s">
        <v>19</v>
      </c>
      <c r="B160" s="41"/>
      <c r="C160" s="42"/>
      <c r="D160" s="45"/>
    </row>
    <row r="161" spans="1:4" hidden="1" x14ac:dyDescent="0.25">
      <c r="C161" s="35"/>
      <c r="D161" s="35"/>
    </row>
    <row r="162" spans="1:4" hidden="1" x14ac:dyDescent="0.25">
      <c r="C162" s="35"/>
      <c r="D162" s="35"/>
    </row>
    <row r="163" spans="1:4" ht="15.75" thickBot="1" x14ac:dyDescent="0.3">
      <c r="A163" s="57"/>
      <c r="B163" s="57"/>
      <c r="C163" s="57"/>
      <c r="D163" s="27"/>
    </row>
    <row r="164" spans="1:4" ht="15.75" thickBot="1" x14ac:dyDescent="0.3">
      <c r="A164" s="44" t="s">
        <v>20</v>
      </c>
      <c r="B164" s="41"/>
      <c r="C164" s="42"/>
      <c r="D164" s="45">
        <f>33364.95+53589.48</f>
        <v>86954.43</v>
      </c>
    </row>
    <row r="165" spans="1:4" x14ac:dyDescent="0.25">
      <c r="C165" s="35"/>
      <c r="D165" s="35"/>
    </row>
    <row r="166" spans="1:4" x14ac:dyDescent="0.25">
      <c r="C166" s="35"/>
      <c r="D166" s="35"/>
    </row>
    <row r="167" spans="1:4" x14ac:dyDescent="0.25">
      <c r="A167" s="57"/>
      <c r="B167" s="57"/>
      <c r="C167" s="57"/>
      <c r="D167" s="27"/>
    </row>
    <row r="168" spans="1:4" x14ac:dyDescent="0.25">
      <c r="B168" t="s">
        <v>81</v>
      </c>
      <c r="C168" s="35"/>
      <c r="D168" s="35"/>
    </row>
    <row r="169" spans="1:4" x14ac:dyDescent="0.25">
      <c r="C169" s="35"/>
      <c r="D169" s="35"/>
    </row>
    <row r="170" spans="1:4" x14ac:dyDescent="0.25">
      <c r="C170" s="35"/>
      <c r="D170" s="35"/>
    </row>
    <row r="171" spans="1:4" x14ac:dyDescent="0.25">
      <c r="A171" s="57"/>
      <c r="B171" s="57"/>
      <c r="C171" s="57"/>
      <c r="D171" s="27"/>
    </row>
    <row r="172" spans="1:4" x14ac:dyDescent="0.25">
      <c r="B172" t="s">
        <v>82</v>
      </c>
      <c r="C172" s="35"/>
      <c r="D172" s="35"/>
    </row>
    <row r="173" spans="1:4" x14ac:dyDescent="0.25">
      <c r="C173" s="35"/>
      <c r="D173" s="35"/>
    </row>
    <row r="174" spans="1:4" x14ac:dyDescent="0.25">
      <c r="C174" s="35"/>
      <c r="D174" s="35"/>
    </row>
    <row r="175" spans="1:4" x14ac:dyDescent="0.25">
      <c r="D175" s="35"/>
    </row>
    <row r="176" spans="1:4" x14ac:dyDescent="0.25">
      <c r="D176" s="35"/>
    </row>
    <row r="177" spans="4:4" x14ac:dyDescent="0.25">
      <c r="D177" s="35"/>
    </row>
    <row r="178" spans="4:4" x14ac:dyDescent="0.25">
      <c r="D178" s="35"/>
    </row>
    <row r="179" spans="4:4" x14ac:dyDescent="0.25">
      <c r="D179" s="35"/>
    </row>
    <row r="180" spans="4:4" x14ac:dyDescent="0.25">
      <c r="D180" s="35"/>
    </row>
    <row r="181" spans="4:4" x14ac:dyDescent="0.25">
      <c r="D181" s="35"/>
    </row>
    <row r="182" spans="4:4" x14ac:dyDescent="0.25">
      <c r="D182" s="35"/>
    </row>
    <row r="183" spans="4:4" x14ac:dyDescent="0.25">
      <c r="D183" s="35"/>
    </row>
    <row r="184" spans="4:4" x14ac:dyDescent="0.25">
      <c r="D184" s="35"/>
    </row>
    <row r="185" spans="4:4" x14ac:dyDescent="0.25">
      <c r="D185" s="35"/>
    </row>
    <row r="186" spans="4:4" x14ac:dyDescent="0.25">
      <c r="D186" s="35"/>
    </row>
    <row r="187" spans="4:4" x14ac:dyDescent="0.25">
      <c r="D187" s="35"/>
    </row>
    <row r="188" spans="4:4" x14ac:dyDescent="0.25">
      <c r="D188" s="35"/>
    </row>
    <row r="189" spans="4:4" x14ac:dyDescent="0.25">
      <c r="D189" s="35"/>
    </row>
    <row r="190" spans="4:4" x14ac:dyDescent="0.25">
      <c r="D190" s="35"/>
    </row>
    <row r="191" spans="4:4" x14ac:dyDescent="0.25">
      <c r="D191" s="35"/>
    </row>
    <row r="192" spans="4:4" x14ac:dyDescent="0.25">
      <c r="D192" s="35"/>
    </row>
    <row r="193" spans="4:4" x14ac:dyDescent="0.25">
      <c r="D193" s="35"/>
    </row>
    <row r="194" spans="4:4" x14ac:dyDescent="0.25">
      <c r="D194" s="35"/>
    </row>
  </sheetData>
  <mergeCells count="12">
    <mergeCell ref="A159:C159"/>
    <mergeCell ref="A163:C163"/>
    <mergeCell ref="A167:C167"/>
    <mergeCell ref="A171:C171"/>
    <mergeCell ref="A38:B38"/>
    <mergeCell ref="A137:C137"/>
    <mergeCell ref="A147:C147"/>
    <mergeCell ref="A151:C151"/>
    <mergeCell ref="A155:C155"/>
    <mergeCell ref="A45:C45"/>
    <mergeCell ref="A54:C54"/>
    <mergeCell ref="A94:C94"/>
  </mergeCells>
  <pageMargins left="0.51181102362204722" right="0.51181102362204722" top="0.94488188976377963" bottom="0.74803149606299213" header="0.31496062992125984" footer="0.31496062992125984"/>
  <pageSetup paperSize="9" scale="60" fitToHeight="0" orientation="landscape" r:id="rId1"/>
  <rowBreaks count="2" manualBreakCount="2">
    <brk id="33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Ив.92</vt:lpstr>
      <vt:lpstr>Ив.92!Область_печати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2019-03-29T08:31:58Z</dcterms:modified>
</cp:coreProperties>
</file>