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508BB0A-5675-4AA2-A40F-98CDB3A6F87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Ив.69_2" sheetId="6" r:id="rId1"/>
  </sheets>
  <calcPr calcId="181029"/>
</workbook>
</file>

<file path=xl/calcChain.xml><?xml version="1.0" encoding="utf-8"?>
<calcChain xmlns="http://schemas.openxmlformats.org/spreadsheetml/2006/main">
  <c r="O34" i="6" l="1"/>
  <c r="S39" i="6" l="1"/>
  <c r="R39" i="6"/>
  <c r="Q39" i="6"/>
  <c r="P39" i="6"/>
  <c r="O39" i="6"/>
  <c r="N39" i="6"/>
  <c r="M39" i="6"/>
  <c r="L39" i="6"/>
  <c r="K39" i="6"/>
  <c r="J39" i="6"/>
  <c r="G39" i="6"/>
  <c r="T39" i="6"/>
  <c r="D111" i="6"/>
  <c r="I39" i="6" s="1"/>
  <c r="D106" i="6"/>
  <c r="H39" i="6" s="1"/>
  <c r="D94" i="6"/>
  <c r="F39" i="6" s="1"/>
  <c r="D54" i="6"/>
  <c r="D45" i="6"/>
  <c r="D43" i="6" l="1"/>
  <c r="D44" i="6" s="1"/>
  <c r="E39" i="6" s="1"/>
  <c r="D39" i="6"/>
  <c r="C39" i="6" l="1"/>
  <c r="C37" i="6"/>
  <c r="M31" i="6"/>
  <c r="L31" i="6"/>
  <c r="K31" i="6"/>
  <c r="J31" i="6"/>
  <c r="G31" i="6"/>
  <c r="F31" i="6"/>
  <c r="E31" i="6"/>
  <c r="D31" i="6"/>
  <c r="S30" i="6"/>
  <c r="R30" i="6"/>
  <c r="Q30" i="6"/>
  <c r="P30" i="6"/>
  <c r="O30" i="6"/>
  <c r="M30" i="6"/>
  <c r="L30" i="6"/>
  <c r="K30" i="6"/>
  <c r="J30" i="6"/>
  <c r="F30" i="6"/>
  <c r="E30" i="6"/>
  <c r="D30" i="6"/>
  <c r="S29" i="6"/>
  <c r="Q29" i="6"/>
  <c r="P29" i="6"/>
  <c r="O29" i="6"/>
  <c r="N29" i="6"/>
  <c r="E29" i="6"/>
  <c r="S28" i="6"/>
  <c r="R28" i="6"/>
  <c r="Q28" i="6"/>
  <c r="P28" i="6"/>
  <c r="O28" i="6"/>
  <c r="N28" i="6"/>
  <c r="E28" i="6"/>
  <c r="S27" i="6"/>
  <c r="R27" i="6"/>
  <c r="Q27" i="6"/>
  <c r="P27" i="6"/>
  <c r="O27" i="6"/>
  <c r="N27" i="6"/>
  <c r="E27" i="6"/>
  <c r="S26" i="6"/>
  <c r="R26" i="6"/>
  <c r="Q26" i="6"/>
  <c r="P26" i="6"/>
  <c r="O26" i="6"/>
  <c r="N26" i="6"/>
  <c r="M26" i="6"/>
  <c r="L26" i="6"/>
  <c r="K26" i="6"/>
  <c r="J26" i="6"/>
  <c r="G26" i="6"/>
  <c r="E26" i="6"/>
  <c r="S25" i="6"/>
  <c r="R25" i="6"/>
  <c r="Q25" i="6"/>
  <c r="P25" i="6"/>
  <c r="O25" i="6"/>
  <c r="N25" i="6"/>
  <c r="F25" i="6"/>
  <c r="E25" i="6"/>
  <c r="D25" i="6"/>
  <c r="S24" i="6"/>
  <c r="R24" i="6"/>
  <c r="Q24" i="6"/>
  <c r="P24" i="6"/>
  <c r="O24" i="6"/>
  <c r="N24" i="6"/>
  <c r="M24" i="6"/>
  <c r="L24" i="6"/>
  <c r="K24" i="6"/>
  <c r="J24" i="6"/>
  <c r="G24" i="6"/>
  <c r="F24" i="6"/>
  <c r="E24" i="6"/>
  <c r="D24" i="6"/>
  <c r="S23" i="6"/>
  <c r="R23" i="6"/>
  <c r="Q23" i="6"/>
  <c r="P23" i="6"/>
  <c r="O23" i="6"/>
  <c r="N23" i="6"/>
  <c r="M23" i="6"/>
  <c r="L23" i="6"/>
  <c r="K23" i="6"/>
  <c r="J23" i="6"/>
  <c r="G23" i="6"/>
  <c r="F23" i="6"/>
  <c r="E23" i="6"/>
  <c r="D23" i="6"/>
  <c r="E22" i="6"/>
  <c r="C22" i="6" s="1"/>
  <c r="E21" i="6"/>
  <c r="C21" i="6"/>
  <c r="E20" i="6"/>
  <c r="C20" i="6" s="1"/>
  <c r="T19" i="6"/>
  <c r="I19" i="6"/>
  <c r="H19" i="6"/>
  <c r="C18" i="6"/>
  <c r="C17" i="6"/>
  <c r="C16" i="6"/>
  <c r="C15" i="6"/>
  <c r="C14" i="6"/>
  <c r="C13" i="6"/>
  <c r="S12" i="6"/>
  <c r="P12" i="6"/>
  <c r="O12" i="6"/>
  <c r="S11" i="6"/>
  <c r="R11" i="6"/>
  <c r="Q11" i="6"/>
  <c r="P11" i="6"/>
  <c r="O11" i="6"/>
  <c r="S10" i="6"/>
  <c r="R10" i="6"/>
  <c r="Q10" i="6"/>
  <c r="P10" i="6"/>
  <c r="O10" i="6"/>
  <c r="N10" i="6"/>
  <c r="N6" i="6" s="1"/>
  <c r="N38" i="6" s="1"/>
  <c r="N40" i="6" s="1"/>
  <c r="C9" i="6"/>
  <c r="C8" i="6"/>
  <c r="E7" i="6"/>
  <c r="C7" i="6" s="1"/>
  <c r="T6" i="6"/>
  <c r="T38" i="6" s="1"/>
  <c r="T40" i="6" s="1"/>
  <c r="M6" i="6"/>
  <c r="L6" i="6"/>
  <c r="L38" i="6" s="1"/>
  <c r="L40" i="6" s="1"/>
  <c r="K6" i="6"/>
  <c r="J6" i="6"/>
  <c r="J38" i="6" s="1"/>
  <c r="J40" i="6" s="1"/>
  <c r="I6" i="6"/>
  <c r="I32" i="6" s="1"/>
  <c r="H6" i="6"/>
  <c r="H38" i="6" s="1"/>
  <c r="H40" i="6" s="1"/>
  <c r="G6" i="6"/>
  <c r="F6" i="6"/>
  <c r="F38" i="6" s="1"/>
  <c r="F40" i="6" s="1"/>
  <c r="D6" i="6"/>
  <c r="D38" i="6" s="1"/>
  <c r="D40" i="6" s="1"/>
  <c r="N19" i="6" l="1"/>
  <c r="R6" i="6"/>
  <c r="R38" i="6" s="1"/>
  <c r="R40" i="6" s="1"/>
  <c r="O6" i="6"/>
  <c r="S6" i="6"/>
  <c r="S38" i="6" s="1"/>
  <c r="S40" i="6" s="1"/>
  <c r="C24" i="6"/>
  <c r="C12" i="6"/>
  <c r="C29" i="6"/>
  <c r="Q19" i="6"/>
  <c r="M19" i="6"/>
  <c r="J19" i="6"/>
  <c r="J32" i="6" s="1"/>
  <c r="R19" i="6"/>
  <c r="F19" i="6"/>
  <c r="F32" i="6" s="1"/>
  <c r="M32" i="6"/>
  <c r="C11" i="6"/>
  <c r="C23" i="6"/>
  <c r="O19" i="6"/>
  <c r="O32" i="6" s="1"/>
  <c r="C25" i="6"/>
  <c r="C28" i="6"/>
  <c r="I38" i="6"/>
  <c r="I40" i="6" s="1"/>
  <c r="C10" i="6"/>
  <c r="Q6" i="6"/>
  <c r="E19" i="6"/>
  <c r="L19" i="6"/>
  <c r="L32" i="6" s="1"/>
  <c r="P19" i="6"/>
  <c r="G19" i="6"/>
  <c r="C27" i="6"/>
  <c r="C31" i="6"/>
  <c r="H32" i="6"/>
  <c r="M38" i="6"/>
  <c r="M40" i="6" s="1"/>
  <c r="K19" i="6"/>
  <c r="S19" i="6"/>
  <c r="D19" i="6"/>
  <c r="D32" i="6" s="1"/>
  <c r="C26" i="6"/>
  <c r="C30" i="6"/>
  <c r="T32" i="6"/>
  <c r="Q38" i="6"/>
  <c r="Q40" i="6" s="1"/>
  <c r="G32" i="6"/>
  <c r="K32" i="6"/>
  <c r="E6" i="6"/>
  <c r="N32" i="6"/>
  <c r="G38" i="6"/>
  <c r="G40" i="6" s="1"/>
  <c r="K38" i="6"/>
  <c r="K40" i="6" s="1"/>
  <c r="O38" i="6"/>
  <c r="O40" i="6" s="1"/>
  <c r="P6" i="6"/>
  <c r="R32" i="6" l="1"/>
  <c r="S32" i="6"/>
  <c r="C19" i="6"/>
  <c r="Q32" i="6"/>
  <c r="P32" i="6"/>
  <c r="P38" i="6"/>
  <c r="P40" i="6" s="1"/>
  <c r="E32" i="6"/>
  <c r="E38" i="6"/>
  <c r="E40" i="6" s="1"/>
  <c r="C6" i="6"/>
  <c r="C32" i="6" l="1"/>
  <c r="C38" i="6"/>
  <c r="C40" i="6" s="1"/>
</calcChain>
</file>

<file path=xl/sharedStrings.xml><?xml version="1.0" encoding="utf-8"?>
<sst xmlns="http://schemas.openxmlformats.org/spreadsheetml/2006/main" count="120" uniqueCount="84">
  <si>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</si>
  <si>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</si>
  <si>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</si>
  <si>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</si>
  <si>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</si>
  <si>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</si>
  <si>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</si>
  <si>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</si>
  <si>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</si>
  <si>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</si>
  <si>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</si>
  <si>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</si>
  <si>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</si>
  <si>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</si>
  <si>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</si>
  <si>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</si>
  <si>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</si>
  <si>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</si>
  <si>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</si>
  <si>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</si>
  <si>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</si>
  <si>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</si>
  <si>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</si>
  <si>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</si>
  <si>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</si>
  <si>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</si>
  <si>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</si>
  <si>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</si>
  <si>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</si>
  <si>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</si>
  <si>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</si>
  <si>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</si>
  <si>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</si>
  <si>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</si>
  <si>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</si>
  <si>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</si>
  <si>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</si>
  <si>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</si>
  <si>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</si>
  <si>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</si>
  <si>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</si>
  <si>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</si>
  <si>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</si>
  <si>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</si>
  <si>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</si>
  <si>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</si>
  <si>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</si>
  <si>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</si>
  <si>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</si>
  <si>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</si>
  <si>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</si>
  <si>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</si>
  <si>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</si>
  <si>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</si>
  <si>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</si>
  <si>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</si>
  <si>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</si>
  <si>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</si>
  <si>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</si>
  <si>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г. Кохма, ул. Ивановская, д. 69 корп. 2</t>
  </si>
  <si>
    <t>Содержание офиса (аренда, КУ)</t>
  </si>
  <si>
    <t>Охрана труда (оценка, защ.средства, быт.техника)</t>
  </si>
  <si>
    <t>Страхование лифтов</t>
  </si>
  <si>
    <t>Налог УСН 1%</t>
  </si>
  <si>
    <t>Услуги МФЦ</t>
  </si>
  <si>
    <t>Сопровождение программы 1с Бух</t>
  </si>
  <si>
    <t xml:space="preserve">фонд оплаты труда дворников,с отчислениями </t>
  </si>
  <si>
    <t>спец.одежда</t>
  </si>
  <si>
    <t>услуги по аренде эксковатора</t>
  </si>
  <si>
    <t>Материалы ( 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</si>
  <si>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</si>
  <si>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</si>
  <si>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</si>
  <si>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</si>
  <si>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>Обслуживание УУТЭ</t>
  </si>
  <si>
    <t xml:space="preserve">Ремонт герметизации швов </t>
  </si>
  <si>
    <t>Текущий ремонт подъезда</t>
  </si>
  <si>
    <t>Сан.обработка помещений</t>
  </si>
  <si>
    <t>Техническое диагностирование ВДГО в мкд</t>
  </si>
  <si>
    <t>Обрезка деревьев</t>
  </si>
  <si>
    <t>Инвентарь и материалы</t>
  </si>
  <si>
    <t>Отчет по затратам  за 2018год</t>
  </si>
  <si>
    <t>Генеральный директор  _______________________________ Балыков А.И.</t>
  </si>
  <si>
    <t>Председатель Правления ТСЖ "Успех"  __________________________________ Свиридова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</si>
</sst>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3" fillId="0" borderId="9" xfId="0" applyNumberFormat="1" applyFont="1" applyBorder="1"/>
    <xf numFmtId="4" fontId="3" fillId="0" borderId="0" xfId="0" applyNumberFormat="1" applyFont="1"/>
    <xf numFmtId="0" fontId="11" fillId="0" borderId="0" xfId="0" applyFont="1"/>
    <xf numFmtId="4" fontId="0" fillId="4" borderId="0" xfId="0" applyNumberFormat="1" applyFill="1"/>
    <xf numFmtId="4" fontId="4" fillId="0" borderId="9" xfId="0" applyNumberFormat="1" applyFont="1" applyBorder="1"/>
    <xf numFmtId="0" fontId="1" fillId="0" borderId="0" xfId="0" applyFont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66"/>
  <sheetViews>
    <sheetView tabSelected="1" topLeftCell="A135" zoomScaleNormal="100" workbookViewId="0">
      <selection activeCell="G148" sqref="G148"/>
    </sheetView>
  </sheetViews>
  <sheetFormatPr defaultRowHeight="15" x14ac:dyDescent="0.25"/>
  <cols>
    <col min="2" max="2" width="35.42578125" customWidth="1"/>
    <col min="3" max="3" width="18.28515625" customWidth="1"/>
    <col min="4" max="4" width="16.85546875" customWidth="1"/>
    <col min="5" max="5" width="16.42578125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customWidth="1"/>
    <col min="12" max="13" width="13.42578125" customWidth="1"/>
    <col min="14" max="14" width="17" customWidth="1"/>
    <col min="15" max="15" width="14.85546875" customWidth="1"/>
    <col min="16" max="16" width="17.28515625" customWidth="1"/>
    <col min="17" max="17" width="14.85546875" customWidth="1"/>
    <col min="18" max="18" width="14.28515625" customWidth="1"/>
    <col min="19" max="19" width="14" customWidth="1"/>
    <col min="20" max="20" width="13.85546875" hidden="1" customWidth="1"/>
    <col min="258" max="258" width="35.42578125" customWidth="1"/>
    <col min="259" max="259" width="18.28515625" customWidth="1"/>
    <col min="260" max="260" width="16.85546875" customWidth="1"/>
    <col min="261" max="261" width="16.425781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69" width="13.42578125" customWidth="1"/>
    <col min="270" max="270" width="17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6.425781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5" width="13.42578125" customWidth="1"/>
    <col min="526" max="526" width="17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6.425781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1" width="13.42578125" customWidth="1"/>
    <col min="782" max="782" width="17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6.425781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7" width="13.42578125" customWidth="1"/>
    <col min="1038" max="1038" width="17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6.425781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3" width="13.42578125" customWidth="1"/>
    <col min="1294" max="1294" width="17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6.425781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49" width="13.42578125" customWidth="1"/>
    <col min="1550" max="1550" width="17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6.425781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5" width="13.42578125" customWidth="1"/>
    <col min="1806" max="1806" width="17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6.425781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1" width="13.42578125" customWidth="1"/>
    <col min="2062" max="2062" width="17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6.425781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7" width="13.42578125" customWidth="1"/>
    <col min="2318" max="2318" width="17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6.425781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3" width="13.42578125" customWidth="1"/>
    <col min="2574" max="2574" width="17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6.425781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29" width="13.42578125" customWidth="1"/>
    <col min="2830" max="2830" width="17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6.425781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5" width="13.42578125" customWidth="1"/>
    <col min="3086" max="3086" width="17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6.425781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1" width="13.42578125" customWidth="1"/>
    <col min="3342" max="3342" width="17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6.425781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7" width="13.42578125" customWidth="1"/>
    <col min="3598" max="3598" width="17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6.425781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3" width="13.42578125" customWidth="1"/>
    <col min="3854" max="3854" width="17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6.425781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09" width="13.42578125" customWidth="1"/>
    <col min="4110" max="4110" width="17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6.425781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5" width="13.42578125" customWidth="1"/>
    <col min="4366" max="4366" width="17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6.425781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1" width="13.42578125" customWidth="1"/>
    <col min="4622" max="4622" width="17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6.425781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7" width="13.42578125" customWidth="1"/>
    <col min="4878" max="4878" width="17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6.425781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3" width="13.42578125" customWidth="1"/>
    <col min="5134" max="5134" width="17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6.425781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89" width="13.42578125" customWidth="1"/>
    <col min="5390" max="5390" width="17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6.425781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5" width="13.42578125" customWidth="1"/>
    <col min="5646" max="5646" width="17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6.425781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1" width="13.42578125" customWidth="1"/>
    <col min="5902" max="5902" width="17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6.425781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7" width="13.42578125" customWidth="1"/>
    <col min="6158" max="6158" width="17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6.425781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3" width="13.42578125" customWidth="1"/>
    <col min="6414" max="6414" width="17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6.425781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69" width="13.42578125" customWidth="1"/>
    <col min="6670" max="6670" width="17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6.425781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5" width="13.42578125" customWidth="1"/>
    <col min="6926" max="6926" width="17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6.425781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1" width="13.42578125" customWidth="1"/>
    <col min="7182" max="7182" width="17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6.425781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7" width="13.42578125" customWidth="1"/>
    <col min="7438" max="7438" width="17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6.425781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3" width="13.42578125" customWidth="1"/>
    <col min="7694" max="7694" width="17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6.425781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49" width="13.42578125" customWidth="1"/>
    <col min="7950" max="7950" width="17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6.425781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5" width="13.42578125" customWidth="1"/>
    <col min="8206" max="8206" width="17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6.425781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1" width="13.42578125" customWidth="1"/>
    <col min="8462" max="8462" width="17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6.425781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7" width="13.42578125" customWidth="1"/>
    <col min="8718" max="8718" width="17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6.425781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3" width="13.42578125" customWidth="1"/>
    <col min="8974" max="8974" width="17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6.425781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29" width="13.42578125" customWidth="1"/>
    <col min="9230" max="9230" width="17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6.425781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5" width="13.42578125" customWidth="1"/>
    <col min="9486" max="9486" width="17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6.425781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1" width="13.42578125" customWidth="1"/>
    <col min="9742" max="9742" width="17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6.425781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7" width="13.42578125" customWidth="1"/>
    <col min="9998" max="9998" width="17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6.425781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3" width="13.42578125" customWidth="1"/>
    <col min="10254" max="10254" width="17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6.425781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09" width="13.42578125" customWidth="1"/>
    <col min="10510" max="10510" width="17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6.425781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5" width="13.42578125" customWidth="1"/>
    <col min="10766" max="10766" width="17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6.425781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1" width="13.42578125" customWidth="1"/>
    <col min="11022" max="11022" width="17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6.425781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7" width="13.42578125" customWidth="1"/>
    <col min="11278" max="11278" width="17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6.425781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3" width="13.42578125" customWidth="1"/>
    <col min="11534" max="11534" width="17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6.425781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89" width="13.42578125" customWidth="1"/>
    <col min="11790" max="11790" width="17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6.425781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5" width="13.42578125" customWidth="1"/>
    <col min="12046" max="12046" width="17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6.425781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1" width="13.42578125" customWidth="1"/>
    <col min="12302" max="12302" width="17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6.425781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7" width="13.42578125" customWidth="1"/>
    <col min="12558" max="12558" width="17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6.425781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3" width="13.42578125" customWidth="1"/>
    <col min="12814" max="12814" width="17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6.425781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69" width="13.42578125" customWidth="1"/>
    <col min="13070" max="13070" width="17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6.425781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5" width="13.42578125" customWidth="1"/>
    <col min="13326" max="13326" width="17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6.425781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1" width="13.42578125" customWidth="1"/>
    <col min="13582" max="13582" width="17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6.425781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7" width="13.42578125" customWidth="1"/>
    <col min="13838" max="13838" width="17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6.425781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3" width="13.42578125" customWidth="1"/>
    <col min="14094" max="14094" width="17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6.425781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49" width="13.42578125" customWidth="1"/>
    <col min="14350" max="14350" width="17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6.425781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5" width="13.42578125" customWidth="1"/>
    <col min="14606" max="14606" width="17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6.425781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1" width="13.42578125" customWidth="1"/>
    <col min="14862" max="14862" width="17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6.425781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7" width="13.42578125" customWidth="1"/>
    <col min="15118" max="15118" width="17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6.425781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3" width="13.42578125" customWidth="1"/>
    <col min="15374" max="15374" width="17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6.425781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29" width="13.42578125" customWidth="1"/>
    <col min="15630" max="15630" width="17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6.425781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5" width="13.42578125" customWidth="1"/>
    <col min="15886" max="15886" width="17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6.425781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1" width="13.42578125" customWidth="1"/>
    <col min="16142" max="16142" width="17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2" customFormat="1" ht="31.5" x14ac:dyDescent="0.5">
      <c r="A1" s="51" t="s">
        <v>0</v>
      </c>
      <c r="K1" s="51" t="s">
        <v>59</v>
      </c>
    </row>
    <row r="2" spans="1:20" ht="7.5" customHeight="1" x14ac:dyDescent="0.3">
      <c r="A2" s="1"/>
    </row>
    <row r="3" spans="1:20" ht="9.75" customHeight="1" x14ac:dyDescent="0.25"/>
    <row r="4" spans="1:20" s="3" customFormat="1" ht="62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v>233196.25</v>
      </c>
      <c r="D5" s="6"/>
      <c r="E5" s="6">
        <v>233196.25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26" si="0">SUM(D6:T6)</f>
        <v>1945139.4600000002</v>
      </c>
      <c r="D6" s="10">
        <f>SUM(D7:D18)</f>
        <v>95467.66</v>
      </c>
      <c r="E6" s="10">
        <f t="shared" ref="E6:T6" si="1">SUM(E7:E18)</f>
        <v>368651.73</v>
      </c>
      <c r="F6" s="10">
        <f t="shared" si="1"/>
        <v>56644.250000000007</v>
      </c>
      <c r="G6" s="10">
        <f t="shared" si="1"/>
        <v>16547.460000000003</v>
      </c>
      <c r="H6" s="10">
        <f t="shared" si="1"/>
        <v>0</v>
      </c>
      <c r="I6" s="10">
        <f t="shared" si="1"/>
        <v>0</v>
      </c>
      <c r="J6" s="10">
        <f t="shared" si="1"/>
        <v>2241.6499999999996</v>
      </c>
      <c r="K6" s="10">
        <f t="shared" si="1"/>
        <v>11725.9</v>
      </c>
      <c r="L6" s="10">
        <f t="shared" si="1"/>
        <v>3680.4500000000003</v>
      </c>
      <c r="M6" s="10">
        <f t="shared" si="1"/>
        <v>3260.38</v>
      </c>
      <c r="N6" s="10">
        <f t="shared" si="1"/>
        <v>794766.4</v>
      </c>
      <c r="O6" s="10">
        <f t="shared" si="1"/>
        <v>68942.819999999992</v>
      </c>
      <c r="P6" s="10">
        <f t="shared" si="1"/>
        <v>56612.229999999996</v>
      </c>
      <c r="Q6" s="10">
        <f t="shared" si="1"/>
        <v>181194.86</v>
      </c>
      <c r="R6" s="10">
        <f t="shared" si="1"/>
        <v>28438.57</v>
      </c>
      <c r="S6" s="10">
        <f t="shared" si="1"/>
        <v>256965.10000000003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210668.85000000003</v>
      </c>
      <c r="D7" s="6">
        <v>7949.7</v>
      </c>
      <c r="E7" s="6">
        <f>30924.36-2717.13</f>
        <v>28207.23</v>
      </c>
      <c r="F7" s="6">
        <v>4716.84</v>
      </c>
      <c r="G7" s="6">
        <v>1377.93</v>
      </c>
      <c r="H7" s="6"/>
      <c r="I7" s="6"/>
      <c r="J7" s="6">
        <v>182.73</v>
      </c>
      <c r="K7" s="6">
        <v>955.9</v>
      </c>
      <c r="L7" s="6">
        <v>300.02999999999997</v>
      </c>
      <c r="M7" s="6">
        <v>264.99</v>
      </c>
      <c r="N7" s="6">
        <v>124566.36</v>
      </c>
      <c r="O7" s="6">
        <v>5125.29</v>
      </c>
      <c r="P7" s="6">
        <v>4208.6400000000003</v>
      </c>
      <c r="Q7" s="6">
        <v>10874.84</v>
      </c>
      <c r="R7" s="6">
        <v>1706.88</v>
      </c>
      <c r="S7" s="6">
        <v>20231.490000000002</v>
      </c>
      <c r="T7" s="6"/>
    </row>
    <row r="8" spans="1:20" s="7" customFormat="1" ht="18.75" x14ac:dyDescent="0.3">
      <c r="A8" s="4"/>
      <c r="B8" s="12">
        <v>43132</v>
      </c>
      <c r="C8" s="6">
        <f t="shared" si="0"/>
        <v>257958.83000000002</v>
      </c>
      <c r="D8" s="6">
        <v>7949.7</v>
      </c>
      <c r="E8" s="6">
        <v>30924.36</v>
      </c>
      <c r="F8" s="6">
        <v>4716.84</v>
      </c>
      <c r="G8" s="6">
        <v>1377.93</v>
      </c>
      <c r="H8" s="6"/>
      <c r="I8" s="6"/>
      <c r="J8" s="6">
        <v>182.73</v>
      </c>
      <c r="K8" s="6">
        <v>955.9</v>
      </c>
      <c r="L8" s="6">
        <v>300.02999999999997</v>
      </c>
      <c r="M8" s="6">
        <v>264.99</v>
      </c>
      <c r="N8" s="6">
        <v>159133.04</v>
      </c>
      <c r="O8" s="6">
        <v>6678.72</v>
      </c>
      <c r="P8" s="6">
        <v>5484.27</v>
      </c>
      <c r="Q8" s="6">
        <v>16045.84</v>
      </c>
      <c r="R8" s="6">
        <v>2518.5100000000002</v>
      </c>
      <c r="S8" s="6">
        <v>21425.97</v>
      </c>
      <c r="T8" s="6"/>
    </row>
    <row r="9" spans="1:20" s="7" customFormat="1" ht="18.75" x14ac:dyDescent="0.3">
      <c r="A9" s="4"/>
      <c r="B9" s="12">
        <v>43160</v>
      </c>
      <c r="C9" s="6">
        <f t="shared" si="0"/>
        <v>219439.71</v>
      </c>
      <c r="D9" s="6">
        <v>7951.09</v>
      </c>
      <c r="E9" s="6">
        <v>30929.8</v>
      </c>
      <c r="F9" s="6">
        <v>4717.66</v>
      </c>
      <c r="G9" s="6">
        <v>1378.18</v>
      </c>
      <c r="H9" s="6"/>
      <c r="I9" s="6"/>
      <c r="J9" s="6">
        <v>182.73</v>
      </c>
      <c r="K9" s="6">
        <v>956.06</v>
      </c>
      <c r="L9" s="6">
        <v>300.07</v>
      </c>
      <c r="M9" s="6">
        <v>265.02999999999997</v>
      </c>
      <c r="N9" s="6">
        <v>135785.13</v>
      </c>
      <c r="O9" s="6">
        <v>3114.64</v>
      </c>
      <c r="P9" s="6">
        <v>2557.58</v>
      </c>
      <c r="Q9" s="6">
        <v>11848.14</v>
      </c>
      <c r="R9" s="6">
        <v>1859.65</v>
      </c>
      <c r="S9" s="6">
        <v>17593.95</v>
      </c>
      <c r="T9" s="6"/>
    </row>
    <row r="10" spans="1:20" s="7" customFormat="1" ht="18.75" x14ac:dyDescent="0.3">
      <c r="A10" s="4"/>
      <c r="B10" s="12">
        <v>43191</v>
      </c>
      <c r="C10" s="6">
        <f t="shared" si="0"/>
        <v>167498.74</v>
      </c>
      <c r="D10" s="6">
        <v>7957.9</v>
      </c>
      <c r="E10" s="6">
        <v>30956.21</v>
      </c>
      <c r="F10" s="6">
        <v>4721.7</v>
      </c>
      <c r="G10" s="6">
        <v>1379.34</v>
      </c>
      <c r="H10" s="6"/>
      <c r="I10" s="6"/>
      <c r="J10" s="6">
        <v>182.91</v>
      </c>
      <c r="K10" s="6">
        <v>956.9</v>
      </c>
      <c r="L10" s="6">
        <v>300.32</v>
      </c>
      <c r="M10" s="6">
        <v>265.27</v>
      </c>
      <c r="N10" s="6">
        <f>141.86+76646.24</f>
        <v>76788.100000000006</v>
      </c>
      <c r="O10" s="6">
        <f>8.43+4160.41</f>
        <v>4168.84</v>
      </c>
      <c r="P10" s="6">
        <f>6.91+3416.29</f>
        <v>3423.2</v>
      </c>
      <c r="Q10" s="6">
        <f>24.21+14119.06</f>
        <v>14143.269999999999</v>
      </c>
      <c r="R10" s="6">
        <f>3.8+2216.07</f>
        <v>2219.8700000000003</v>
      </c>
      <c r="S10" s="6">
        <f>27.57+20007.34</f>
        <v>20034.91</v>
      </c>
      <c r="T10" s="6"/>
    </row>
    <row r="11" spans="1:20" s="7" customFormat="1" ht="18.75" x14ac:dyDescent="0.3">
      <c r="A11" s="4"/>
      <c r="B11" s="12">
        <v>43221</v>
      </c>
      <c r="C11" s="6">
        <f t="shared" si="0"/>
        <v>92811.530000000013</v>
      </c>
      <c r="D11" s="6">
        <v>7965.91</v>
      </c>
      <c r="E11" s="6">
        <v>30987.32</v>
      </c>
      <c r="F11" s="6">
        <v>4726.4399999999996</v>
      </c>
      <c r="G11" s="6">
        <v>1380.73</v>
      </c>
      <c r="H11" s="6"/>
      <c r="I11" s="6"/>
      <c r="J11" s="6">
        <v>183.08</v>
      </c>
      <c r="K11" s="6">
        <v>957.82</v>
      </c>
      <c r="L11" s="6">
        <v>300.62</v>
      </c>
      <c r="M11" s="6">
        <v>265.51</v>
      </c>
      <c r="N11" s="6">
        <v>311.60000000000002</v>
      </c>
      <c r="O11" s="6">
        <f>11.42+5468.36</f>
        <v>5479.78</v>
      </c>
      <c r="P11" s="6">
        <f>9.41+4490.35</f>
        <v>4499.76</v>
      </c>
      <c r="Q11" s="6">
        <f>26.29+12807.23</f>
        <v>12833.52</v>
      </c>
      <c r="R11" s="6">
        <f>4.12+2010.18</f>
        <v>2014.3</v>
      </c>
      <c r="S11" s="6">
        <f>41.97+20863.17</f>
        <v>20905.14</v>
      </c>
      <c r="T11" s="6"/>
    </row>
    <row r="12" spans="1:20" s="7" customFormat="1" ht="18.75" x14ac:dyDescent="0.3">
      <c r="A12" s="4"/>
      <c r="B12" s="12">
        <v>43252</v>
      </c>
      <c r="C12" s="6">
        <f t="shared" si="0"/>
        <v>92771.26</v>
      </c>
      <c r="D12" s="6">
        <v>7959.48</v>
      </c>
      <c r="E12" s="6">
        <v>30962.42</v>
      </c>
      <c r="F12" s="6">
        <v>4722.6499999999996</v>
      </c>
      <c r="G12" s="6">
        <v>1379.63</v>
      </c>
      <c r="H12" s="6"/>
      <c r="I12" s="6"/>
      <c r="J12" s="6">
        <v>182.96</v>
      </c>
      <c r="K12" s="6">
        <v>957.07</v>
      </c>
      <c r="L12" s="6">
        <v>300.39999999999998</v>
      </c>
      <c r="M12" s="6">
        <v>265.31</v>
      </c>
      <c r="N12" s="6">
        <v>-16.12</v>
      </c>
      <c r="O12" s="6">
        <f>-3.34+5958.52</f>
        <v>5955.18</v>
      </c>
      <c r="P12" s="6">
        <f>-2.74+4892.85</f>
        <v>4890.1100000000006</v>
      </c>
      <c r="Q12" s="6">
        <v>14543.3</v>
      </c>
      <c r="R12" s="6">
        <v>2282.66</v>
      </c>
      <c r="S12" s="6">
        <f>-4.37+18390.58</f>
        <v>18386.210000000003</v>
      </c>
      <c r="T12" s="6"/>
    </row>
    <row r="13" spans="1:20" s="7" customFormat="1" ht="18.75" x14ac:dyDescent="0.3">
      <c r="A13" s="4"/>
      <c r="B13" s="12">
        <v>43282</v>
      </c>
      <c r="C13" s="6">
        <f t="shared" si="0"/>
        <v>93798.159999999989</v>
      </c>
      <c r="D13" s="6">
        <v>7960.63</v>
      </c>
      <c r="E13" s="6">
        <v>30966.91</v>
      </c>
      <c r="F13" s="6">
        <v>4723.33</v>
      </c>
      <c r="G13" s="6">
        <v>1379.83</v>
      </c>
      <c r="H13" s="6"/>
      <c r="I13" s="6"/>
      <c r="J13" s="6">
        <v>190.87</v>
      </c>
      <c r="K13" s="6">
        <v>998.31</v>
      </c>
      <c r="L13" s="6">
        <v>313.35000000000002</v>
      </c>
      <c r="M13" s="6">
        <v>278.36</v>
      </c>
      <c r="N13" s="6"/>
      <c r="O13" s="6">
        <v>6546.56</v>
      </c>
      <c r="P13" s="6">
        <v>5375.68</v>
      </c>
      <c r="Q13" s="6">
        <v>11676.76</v>
      </c>
      <c r="R13" s="6">
        <v>1832.59</v>
      </c>
      <c r="S13" s="6">
        <v>21554.98</v>
      </c>
      <c r="T13" s="6"/>
    </row>
    <row r="14" spans="1:20" s="7" customFormat="1" ht="18.75" x14ac:dyDescent="0.3">
      <c r="A14" s="4"/>
      <c r="B14" s="12">
        <v>43313</v>
      </c>
      <c r="C14" s="6">
        <f t="shared" si="0"/>
        <v>91144.010000000009</v>
      </c>
      <c r="D14" s="6">
        <v>7963.6</v>
      </c>
      <c r="E14" s="6">
        <v>30978.43</v>
      </c>
      <c r="F14" s="6">
        <v>4725.08</v>
      </c>
      <c r="G14" s="6">
        <v>1380.35</v>
      </c>
      <c r="H14" s="6"/>
      <c r="I14" s="6"/>
      <c r="J14" s="6">
        <v>190.94</v>
      </c>
      <c r="K14" s="6">
        <v>998.68</v>
      </c>
      <c r="L14" s="6">
        <v>313.47000000000003</v>
      </c>
      <c r="M14" s="6">
        <v>278.45999999999998</v>
      </c>
      <c r="N14" s="6"/>
      <c r="O14" s="6">
        <v>6205.24</v>
      </c>
      <c r="P14" s="6">
        <v>5095.3999999999996</v>
      </c>
      <c r="Q14" s="6">
        <v>12790.67</v>
      </c>
      <c r="R14" s="6">
        <v>2007.44</v>
      </c>
      <c r="S14" s="6">
        <v>18216.25</v>
      </c>
      <c r="T14" s="6"/>
    </row>
    <row r="15" spans="1:20" s="7" customFormat="1" ht="18.75" x14ac:dyDescent="0.3">
      <c r="A15" s="4"/>
      <c r="B15" s="12">
        <v>43344</v>
      </c>
      <c r="C15" s="6">
        <f t="shared" si="0"/>
        <v>86253.450000000012</v>
      </c>
      <c r="D15" s="6">
        <v>7955.77</v>
      </c>
      <c r="E15" s="6">
        <v>30947.97</v>
      </c>
      <c r="F15" s="6">
        <v>4720.4399999999996</v>
      </c>
      <c r="G15" s="6">
        <v>1378.99</v>
      </c>
      <c r="H15" s="6"/>
      <c r="I15" s="6"/>
      <c r="J15" s="6">
        <v>190.76</v>
      </c>
      <c r="K15" s="6">
        <v>997.73</v>
      </c>
      <c r="L15" s="6">
        <v>313.17</v>
      </c>
      <c r="M15" s="6">
        <v>278.22000000000003</v>
      </c>
      <c r="N15" s="6"/>
      <c r="O15" s="6">
        <v>5396.06</v>
      </c>
      <c r="P15" s="6">
        <v>4430.97</v>
      </c>
      <c r="Q15" s="6">
        <v>10607.16</v>
      </c>
      <c r="R15" s="6">
        <v>1664.75</v>
      </c>
      <c r="S15" s="6">
        <v>17371.46</v>
      </c>
      <c r="T15" s="6"/>
    </row>
    <row r="16" spans="1:20" s="7" customFormat="1" ht="18.75" x14ac:dyDescent="0.3">
      <c r="A16" s="4"/>
      <c r="B16" s="12">
        <v>43374</v>
      </c>
      <c r="C16" s="6">
        <f t="shared" si="0"/>
        <v>144624.12</v>
      </c>
      <c r="D16" s="6">
        <v>7950.55</v>
      </c>
      <c r="E16" s="6">
        <v>30927.67</v>
      </c>
      <c r="F16" s="6">
        <v>4717.34</v>
      </c>
      <c r="G16" s="6">
        <v>1378.09</v>
      </c>
      <c r="H16" s="6"/>
      <c r="I16" s="6"/>
      <c r="J16" s="6">
        <v>190.63</v>
      </c>
      <c r="K16" s="6">
        <v>997.1</v>
      </c>
      <c r="L16" s="6">
        <v>312.97000000000003</v>
      </c>
      <c r="M16" s="6">
        <v>278.06</v>
      </c>
      <c r="N16" s="6">
        <v>49065.41</v>
      </c>
      <c r="O16" s="6">
        <v>5742.08</v>
      </c>
      <c r="P16" s="6">
        <v>4715.0600000000004</v>
      </c>
      <c r="Q16" s="6">
        <v>13949.4</v>
      </c>
      <c r="R16" s="6">
        <v>2189.2800000000002</v>
      </c>
      <c r="S16" s="6">
        <v>22210.48</v>
      </c>
      <c r="T16" s="6"/>
    </row>
    <row r="17" spans="1:20" s="7" customFormat="1" ht="18.75" x14ac:dyDescent="0.3">
      <c r="A17" s="4"/>
      <c r="B17" s="12">
        <v>43405</v>
      </c>
      <c r="C17" s="6">
        <f t="shared" si="0"/>
        <v>204592.87999999998</v>
      </c>
      <c r="D17" s="6">
        <v>7950.71</v>
      </c>
      <c r="E17" s="6">
        <v>30928.35</v>
      </c>
      <c r="F17" s="6">
        <v>4717.3599999999997</v>
      </c>
      <c r="G17" s="6">
        <v>1378.07</v>
      </c>
      <c r="H17" s="6"/>
      <c r="I17" s="6"/>
      <c r="J17" s="6">
        <v>190.63</v>
      </c>
      <c r="K17" s="6">
        <v>997.1</v>
      </c>
      <c r="L17" s="6">
        <v>312.98</v>
      </c>
      <c r="M17" s="6">
        <v>278.06</v>
      </c>
      <c r="N17" s="6">
        <v>107366.1</v>
      </c>
      <c r="O17" s="6">
        <v>5994.42</v>
      </c>
      <c r="P17" s="6">
        <v>4922.28</v>
      </c>
      <c r="Q17" s="6">
        <v>16027.58</v>
      </c>
      <c r="R17" s="6">
        <v>2515.46</v>
      </c>
      <c r="S17" s="6">
        <v>21013.78</v>
      </c>
      <c r="T17" s="6"/>
    </row>
    <row r="18" spans="1:20" s="7" customFormat="1" ht="18.75" x14ac:dyDescent="0.3">
      <c r="A18" s="4"/>
      <c r="B18" s="12">
        <v>43435</v>
      </c>
      <c r="C18" s="6">
        <f t="shared" si="0"/>
        <v>283577.92</v>
      </c>
      <c r="D18" s="6">
        <v>7952.62</v>
      </c>
      <c r="E18" s="6">
        <v>30935.06</v>
      </c>
      <c r="F18" s="6">
        <v>4718.57</v>
      </c>
      <c r="G18" s="6">
        <v>1378.39</v>
      </c>
      <c r="H18" s="6"/>
      <c r="I18" s="6"/>
      <c r="J18" s="6">
        <v>190.68</v>
      </c>
      <c r="K18" s="6">
        <v>997.33</v>
      </c>
      <c r="L18" s="6">
        <v>313.04000000000002</v>
      </c>
      <c r="M18" s="6">
        <v>278.12</v>
      </c>
      <c r="N18" s="6">
        <v>141766.78</v>
      </c>
      <c r="O18" s="6">
        <v>8536.01</v>
      </c>
      <c r="P18" s="6">
        <v>7009.28</v>
      </c>
      <c r="Q18" s="6">
        <v>35854.379999999997</v>
      </c>
      <c r="R18" s="6">
        <v>5627.18</v>
      </c>
      <c r="S18" s="6">
        <v>38020.480000000003</v>
      </c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1862652.6400000001</v>
      </c>
      <c r="D19" s="15">
        <f t="shared" ref="D19:T19" si="2">SUM(D20:D31)</f>
        <v>92906.3</v>
      </c>
      <c r="E19" s="15">
        <f t="shared" si="2"/>
        <v>365256.47</v>
      </c>
      <c r="F19" s="15">
        <f t="shared" si="2"/>
        <v>55060.399999999994</v>
      </c>
      <c r="G19" s="15">
        <f t="shared" si="2"/>
        <v>15378.28</v>
      </c>
      <c r="H19" s="15">
        <f t="shared" si="2"/>
        <v>0</v>
      </c>
      <c r="I19" s="15">
        <f t="shared" si="2"/>
        <v>0</v>
      </c>
      <c r="J19" s="15">
        <f t="shared" si="2"/>
        <v>2076.8000000000002</v>
      </c>
      <c r="K19" s="15">
        <f t="shared" si="2"/>
        <v>11315.310000000001</v>
      </c>
      <c r="L19" s="15">
        <f t="shared" si="2"/>
        <v>3476.5600000000004</v>
      </c>
      <c r="M19" s="15">
        <f t="shared" si="2"/>
        <v>3092.2500000000005</v>
      </c>
      <c r="N19" s="15">
        <f t="shared" si="2"/>
        <v>734977.32</v>
      </c>
      <c r="O19" s="15">
        <f t="shared" si="2"/>
        <v>71633.570000000007</v>
      </c>
      <c r="P19" s="15">
        <f t="shared" si="2"/>
        <v>58654.299999999996</v>
      </c>
      <c r="Q19" s="15">
        <f t="shared" si="2"/>
        <v>171469.08</v>
      </c>
      <c r="R19" s="15">
        <f t="shared" si="2"/>
        <v>28709.69</v>
      </c>
      <c r="S19" s="15">
        <f t="shared" si="2"/>
        <v>248646.31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146332.82</v>
      </c>
      <c r="D20" s="6">
        <v>6722.12</v>
      </c>
      <c r="E20" s="6">
        <f>25701.42+193.92+381.82-903.51</f>
        <v>25373.649999999998</v>
      </c>
      <c r="F20" s="6">
        <v>3987.96</v>
      </c>
      <c r="G20" s="6">
        <v>459.97</v>
      </c>
      <c r="H20" s="6"/>
      <c r="I20" s="6"/>
      <c r="J20" s="6">
        <v>47.03</v>
      </c>
      <c r="K20" s="6">
        <v>702.38</v>
      </c>
      <c r="L20" s="6">
        <v>136.88</v>
      </c>
      <c r="M20" s="6">
        <v>288.36</v>
      </c>
      <c r="N20" s="6">
        <v>78488.009999999995</v>
      </c>
      <c r="O20" s="6">
        <v>4263.5</v>
      </c>
      <c r="P20" s="6">
        <v>3404.88</v>
      </c>
      <c r="Q20" s="6">
        <v>8899.1</v>
      </c>
      <c r="R20" s="6">
        <v>1346.62</v>
      </c>
      <c r="S20" s="6">
        <v>12212.36</v>
      </c>
      <c r="T20" s="6"/>
    </row>
    <row r="21" spans="1:20" s="7" customFormat="1" ht="18.75" x14ac:dyDescent="0.3">
      <c r="A21" s="4"/>
      <c r="B21" s="12">
        <v>43132</v>
      </c>
      <c r="C21" s="6">
        <f t="shared" si="0"/>
        <v>239354.93000000002</v>
      </c>
      <c r="D21" s="6">
        <v>8896.8799999999992</v>
      </c>
      <c r="E21" s="6">
        <f>34963.07+542.35+505.38</f>
        <v>36010.799999999996</v>
      </c>
      <c r="F21" s="6">
        <v>5279.2</v>
      </c>
      <c r="G21" s="6">
        <v>1163.19</v>
      </c>
      <c r="H21" s="6"/>
      <c r="I21" s="6"/>
      <c r="J21" s="6">
        <v>204.58</v>
      </c>
      <c r="K21" s="6">
        <v>1070.32</v>
      </c>
      <c r="L21" s="6">
        <v>336.7</v>
      </c>
      <c r="M21" s="6">
        <v>307.51</v>
      </c>
      <c r="N21" s="6">
        <v>121844.7</v>
      </c>
      <c r="O21" s="6">
        <v>8103.94</v>
      </c>
      <c r="P21" s="6">
        <v>6764.38</v>
      </c>
      <c r="Q21" s="6">
        <v>20920.830000000002</v>
      </c>
      <c r="R21" s="6">
        <v>3302.05</v>
      </c>
      <c r="S21" s="6">
        <v>25149.85</v>
      </c>
      <c r="T21" s="6"/>
    </row>
    <row r="22" spans="1:20" s="7" customFormat="1" ht="18.75" x14ac:dyDescent="0.3">
      <c r="A22" s="4"/>
      <c r="B22" s="12">
        <v>43160</v>
      </c>
      <c r="C22" s="6">
        <f t="shared" si="0"/>
        <v>217710.90999999997</v>
      </c>
      <c r="D22" s="6">
        <v>7441.21</v>
      </c>
      <c r="E22" s="6">
        <f>28861.38-52.26-88.72</f>
        <v>28720.400000000001</v>
      </c>
      <c r="F22" s="6">
        <v>4402.33</v>
      </c>
      <c r="G22" s="6">
        <v>1215.54</v>
      </c>
      <c r="H22" s="6"/>
      <c r="I22" s="6"/>
      <c r="J22" s="6">
        <v>171.08</v>
      </c>
      <c r="K22" s="6">
        <v>894.98</v>
      </c>
      <c r="L22" s="6">
        <v>280.89</v>
      </c>
      <c r="M22" s="6">
        <v>159.16</v>
      </c>
      <c r="N22" s="6">
        <v>134765.91</v>
      </c>
      <c r="O22" s="6">
        <v>4382.66</v>
      </c>
      <c r="P22" s="6">
        <v>3687.52</v>
      </c>
      <c r="Q22" s="6">
        <v>12283.52</v>
      </c>
      <c r="R22" s="6">
        <v>1928.74</v>
      </c>
      <c r="S22" s="6">
        <v>17376.97</v>
      </c>
      <c r="T22" s="6"/>
    </row>
    <row r="23" spans="1:20" s="7" customFormat="1" ht="18.75" x14ac:dyDescent="0.3">
      <c r="A23" s="4"/>
      <c r="B23" s="12">
        <v>43191</v>
      </c>
      <c r="C23" s="6">
        <f t="shared" si="0"/>
        <v>244517.83000000002</v>
      </c>
      <c r="D23" s="6">
        <f>8753.33-1205.32</f>
        <v>7548.01</v>
      </c>
      <c r="E23" s="6">
        <f>33895.07+45.25+88.72-4244.29</f>
        <v>29784.75</v>
      </c>
      <c r="F23" s="6">
        <f>5155.45-707.14</f>
        <v>4448.3099999999995</v>
      </c>
      <c r="G23" s="6">
        <f>1612.19-62.68</f>
        <v>1549.51</v>
      </c>
      <c r="H23" s="6"/>
      <c r="I23" s="6"/>
      <c r="J23" s="6">
        <f>201.07-18.57</f>
        <v>182.5</v>
      </c>
      <c r="K23" s="6">
        <f>1050.49-97.99</f>
        <v>952.5</v>
      </c>
      <c r="L23" s="6">
        <f>331.2-24.05</f>
        <v>307.14999999999998</v>
      </c>
      <c r="M23" s="6">
        <f>280.14-41.66</f>
        <v>238.48</v>
      </c>
      <c r="N23" s="6">
        <f>147405.54+7614.87</f>
        <v>155020.41</v>
      </c>
      <c r="O23" s="6">
        <f>4379.76+108.92</f>
        <v>4488.68</v>
      </c>
      <c r="P23" s="6">
        <f>3417.04+235.72</f>
        <v>3652.7599999999998</v>
      </c>
      <c r="Q23" s="6">
        <f>14536.85-1508.46</f>
        <v>13028.39</v>
      </c>
      <c r="R23" s="6">
        <f>3201.16-467.47</f>
        <v>2733.6899999999996</v>
      </c>
      <c r="S23" s="6">
        <f>20164.57+418.12</f>
        <v>20582.689999999999</v>
      </c>
      <c r="T23" s="6"/>
    </row>
    <row r="24" spans="1:20" s="7" customFormat="1" ht="18.75" x14ac:dyDescent="0.3">
      <c r="A24" s="4"/>
      <c r="B24" s="12">
        <v>43221</v>
      </c>
      <c r="C24" s="6">
        <f t="shared" si="0"/>
        <v>159978.85999999999</v>
      </c>
      <c r="D24" s="6">
        <f>6631.04-81.97</f>
        <v>6549.07</v>
      </c>
      <c r="E24" s="6">
        <f>25981.2-717.94+34.72</f>
        <v>25297.980000000003</v>
      </c>
      <c r="F24" s="6">
        <f>3934.43-79.82</f>
        <v>3854.6099999999997</v>
      </c>
      <c r="G24" s="6">
        <f>1243.79-15.23</f>
        <v>1228.56</v>
      </c>
      <c r="H24" s="6"/>
      <c r="I24" s="6"/>
      <c r="J24" s="6">
        <f>152.66-4.91</f>
        <v>147.75</v>
      </c>
      <c r="K24" s="6">
        <f>797.71-25.84</f>
        <v>771.87</v>
      </c>
      <c r="L24" s="6">
        <f>248.99-8.07</f>
        <v>240.92000000000002</v>
      </c>
      <c r="M24" s="6">
        <f>199.9-7.12</f>
        <v>192.78</v>
      </c>
      <c r="N24" s="6">
        <f>6065.39+61873.1</f>
        <v>67938.490000000005</v>
      </c>
      <c r="O24" s="6">
        <f>785.63+5764.09</f>
        <v>6549.72</v>
      </c>
      <c r="P24" s="6">
        <f>118.74+0.03+4819.91</f>
        <v>4938.68</v>
      </c>
      <c r="Q24" s="6">
        <f>344.56+15760.27</f>
        <v>16104.83</v>
      </c>
      <c r="R24" s="6">
        <f>475.22+2601.84</f>
        <v>3077.0600000000004</v>
      </c>
      <c r="S24" s="6">
        <f>1103.54+21983</f>
        <v>23086.54</v>
      </c>
      <c r="T24" s="6"/>
    </row>
    <row r="25" spans="1:20" s="7" customFormat="1" ht="18.75" x14ac:dyDescent="0.3">
      <c r="A25" s="4"/>
      <c r="B25" s="12">
        <v>43252</v>
      </c>
      <c r="C25" s="6">
        <f t="shared" si="0"/>
        <v>107275.03000000003</v>
      </c>
      <c r="D25" s="6">
        <f>7739.18-206</f>
        <v>7533.18</v>
      </c>
      <c r="E25" s="6">
        <f>30158.06-6.02</f>
        <v>30152.04</v>
      </c>
      <c r="F25" s="6">
        <f>4601.95-88.51</f>
        <v>4513.4399999999996</v>
      </c>
      <c r="G25" s="6">
        <v>1429.33</v>
      </c>
      <c r="H25" s="6"/>
      <c r="I25" s="6"/>
      <c r="J25" s="6">
        <v>178.47</v>
      </c>
      <c r="K25" s="6">
        <v>933.05</v>
      </c>
      <c r="L25" s="6">
        <v>293.14</v>
      </c>
      <c r="M25" s="6">
        <v>248.41</v>
      </c>
      <c r="N25" s="6">
        <f>2780.59+15377.05</f>
        <v>18157.64</v>
      </c>
      <c r="O25" s="6">
        <f>292.03+5177.57</f>
        <v>5469.5999999999995</v>
      </c>
      <c r="P25" s="6">
        <f>398.84+4363.52</f>
        <v>4762.3600000000006</v>
      </c>
      <c r="Q25" s="6">
        <f>-594.07+11949.5</f>
        <v>11355.43</v>
      </c>
      <c r="R25" s="6">
        <f>146.25+1915.74</f>
        <v>2061.9899999999998</v>
      </c>
      <c r="S25" s="6">
        <f>304.23+19882.72</f>
        <v>20186.95</v>
      </c>
      <c r="T25" s="6"/>
    </row>
    <row r="26" spans="1:20" s="7" customFormat="1" ht="18.75" x14ac:dyDescent="0.3">
      <c r="A26" s="4"/>
      <c r="B26" s="12">
        <v>43282</v>
      </c>
      <c r="C26" s="6">
        <f t="shared" si="0"/>
        <v>116823.12999999998</v>
      </c>
      <c r="D26" s="6">
        <v>8771.01</v>
      </c>
      <c r="E26" s="6">
        <f>33943.72+70.65+140.71</f>
        <v>34155.08</v>
      </c>
      <c r="F26" s="6">
        <v>5232.92</v>
      </c>
      <c r="G26" s="6">
        <f>1584.9-20.5</f>
        <v>1564.4</v>
      </c>
      <c r="H26" s="6"/>
      <c r="I26" s="6"/>
      <c r="J26" s="6">
        <f>270.95-3.43</f>
        <v>267.52</v>
      </c>
      <c r="K26" s="6">
        <f>1118.6-17.94</f>
        <v>1100.6599999999999</v>
      </c>
      <c r="L26" s="6">
        <f>400.01-5.63</f>
        <v>394.38</v>
      </c>
      <c r="M26" s="6">
        <f>358.63-4.97</f>
        <v>353.65999999999997</v>
      </c>
      <c r="N26" s="6">
        <f>-31.55+14044.49</f>
        <v>14012.94</v>
      </c>
      <c r="O26" s="6">
        <f>524.44+6509.6</f>
        <v>7034.0400000000009</v>
      </c>
      <c r="P26" s="6">
        <f>-209.71+140.77+5370.73</f>
        <v>5301.79</v>
      </c>
      <c r="Q26" s="6">
        <f>870.57+14685.99</f>
        <v>15556.56</v>
      </c>
      <c r="R26" s="6">
        <f>276.93+2414.37</f>
        <v>2691.2999999999997</v>
      </c>
      <c r="S26" s="6">
        <f>1171.36+19215.51</f>
        <v>20386.87</v>
      </c>
      <c r="T26" s="6"/>
    </row>
    <row r="27" spans="1:20" s="7" customFormat="1" ht="18.75" x14ac:dyDescent="0.3">
      <c r="A27" s="4"/>
      <c r="B27" s="12">
        <v>43313</v>
      </c>
      <c r="C27" s="6">
        <f>SUM(D27:T27)</f>
        <v>92544.98</v>
      </c>
      <c r="D27" s="6">
        <v>7848.56</v>
      </c>
      <c r="E27" s="6">
        <f>29658.92-16.8+175.88</f>
        <v>29818</v>
      </c>
      <c r="F27" s="6">
        <v>4773.38</v>
      </c>
      <c r="G27" s="6">
        <v>1438.64</v>
      </c>
      <c r="H27" s="6"/>
      <c r="I27" s="6"/>
      <c r="J27" s="6">
        <v>183.06</v>
      </c>
      <c r="K27" s="6">
        <v>1028.9000000000001</v>
      </c>
      <c r="L27" s="6">
        <v>311.08999999999997</v>
      </c>
      <c r="M27" s="6">
        <v>266.29000000000002</v>
      </c>
      <c r="N27" s="6">
        <f>-805.47+2011.94</f>
        <v>1206.47</v>
      </c>
      <c r="O27" s="6">
        <f>-302.9+6132.73</f>
        <v>5829.83</v>
      </c>
      <c r="P27" s="6">
        <f>-14.82+66.88+5014.5</f>
        <v>5066.5600000000004</v>
      </c>
      <c r="Q27" s="6">
        <f>-766.19+12065.99</f>
        <v>11299.8</v>
      </c>
      <c r="R27" s="6">
        <f>-3.32+1941.67</f>
        <v>1938.3500000000001</v>
      </c>
      <c r="S27" s="6">
        <f>-228.16+21764.21</f>
        <v>21536.05</v>
      </c>
      <c r="T27" s="6"/>
    </row>
    <row r="28" spans="1:20" s="7" customFormat="1" ht="18.75" x14ac:dyDescent="0.3">
      <c r="A28" s="4"/>
      <c r="B28" s="12">
        <v>43344</v>
      </c>
      <c r="C28" s="6">
        <f>SUM(D28:T28)</f>
        <v>119991.37</v>
      </c>
      <c r="D28" s="6">
        <v>9093.0300000000007</v>
      </c>
      <c r="E28" s="6">
        <f>35753.67-53.85+55.72</f>
        <v>35755.54</v>
      </c>
      <c r="F28" s="6">
        <v>5371.93</v>
      </c>
      <c r="G28" s="6">
        <v>1537.84</v>
      </c>
      <c r="H28" s="6"/>
      <c r="I28" s="6"/>
      <c r="J28" s="6">
        <v>163.24</v>
      </c>
      <c r="K28" s="6">
        <v>1081.68</v>
      </c>
      <c r="L28" s="6">
        <v>302.63</v>
      </c>
      <c r="M28" s="6">
        <v>259.25</v>
      </c>
      <c r="N28" s="6">
        <f>-745.23+10965.82</f>
        <v>10220.59</v>
      </c>
      <c r="O28" s="6">
        <f>-47.97+7550.38</f>
        <v>7502.41</v>
      </c>
      <c r="P28" s="6">
        <f>-39.59-64.13+6205.24</f>
        <v>6101.5199999999995</v>
      </c>
      <c r="Q28" s="6">
        <f>-907.22+16190.22</f>
        <v>15283</v>
      </c>
      <c r="R28" s="6">
        <f>-49.87+2547.82</f>
        <v>2497.9500000000003</v>
      </c>
      <c r="S28" s="6">
        <f>-712.69+25533.45</f>
        <v>24820.760000000002</v>
      </c>
      <c r="T28" s="6"/>
    </row>
    <row r="29" spans="1:20" s="7" customFormat="1" ht="18.75" x14ac:dyDescent="0.3">
      <c r="A29" s="4"/>
      <c r="B29" s="12">
        <v>43374</v>
      </c>
      <c r="C29" s="6">
        <f>SUM(D29:T29)</f>
        <v>97075.25</v>
      </c>
      <c r="D29" s="6">
        <v>7500.77</v>
      </c>
      <c r="E29" s="6">
        <f>30013.49-53.45-173.76</f>
        <v>29786.280000000002</v>
      </c>
      <c r="F29" s="6">
        <v>4327.47</v>
      </c>
      <c r="G29" s="6">
        <v>1226.2</v>
      </c>
      <c r="H29" s="6"/>
      <c r="I29" s="6"/>
      <c r="J29" s="6">
        <v>171.43</v>
      </c>
      <c r="K29" s="6">
        <v>896.74</v>
      </c>
      <c r="L29" s="6">
        <v>281.64999999999998</v>
      </c>
      <c r="M29" s="6">
        <v>251.69</v>
      </c>
      <c r="N29" s="6">
        <f>-549.87+9957.59</f>
        <v>9407.7199999999993</v>
      </c>
      <c r="O29" s="6">
        <f>-341.07+6042.29</f>
        <v>5701.22</v>
      </c>
      <c r="P29" s="6">
        <f>-143.51+4841.86</f>
        <v>4698.3499999999995</v>
      </c>
      <c r="Q29" s="6">
        <f>-365.34+12847.81</f>
        <v>12482.47</v>
      </c>
      <c r="R29" s="6">
        <v>1916.92</v>
      </c>
      <c r="S29" s="6">
        <f>-83.3+18509.64</f>
        <v>18426.34</v>
      </c>
      <c r="T29" s="6"/>
    </row>
    <row r="30" spans="1:20" s="7" customFormat="1" ht="18.75" x14ac:dyDescent="0.3">
      <c r="A30" s="4"/>
      <c r="B30" s="12">
        <v>43405</v>
      </c>
      <c r="C30" s="6">
        <f>SUM(D30:T30)</f>
        <v>128069.73</v>
      </c>
      <c r="D30" s="6">
        <f>7441.34-116.78</f>
        <v>7324.56</v>
      </c>
      <c r="E30" s="6">
        <f>29155.86-1196.23-38.71</f>
        <v>27920.920000000002</v>
      </c>
      <c r="F30" s="6">
        <f>4341.41-102.99</f>
        <v>4238.42</v>
      </c>
      <c r="G30" s="6">
        <v>1235.5899999999999</v>
      </c>
      <c r="H30" s="6"/>
      <c r="I30" s="6"/>
      <c r="J30" s="6">
        <f>170.79-1.35</f>
        <v>169.44</v>
      </c>
      <c r="K30" s="6">
        <f>893.42-7.06</f>
        <v>886.36</v>
      </c>
      <c r="L30" s="6">
        <f>280.79-2.21</f>
        <v>278.58000000000004</v>
      </c>
      <c r="M30" s="6">
        <f>248.46-1.95</f>
        <v>246.51000000000002</v>
      </c>
      <c r="N30" s="6">
        <v>43829.78</v>
      </c>
      <c r="O30" s="6">
        <f>-29.49+5029.96</f>
        <v>5000.47</v>
      </c>
      <c r="P30" s="6">
        <f>1.69-0.04+3972.21</f>
        <v>3973.86</v>
      </c>
      <c r="Q30" s="6">
        <f>3.1+13679.05</f>
        <v>13682.15</v>
      </c>
      <c r="R30" s="6">
        <f>-201.2+1958.7</f>
        <v>1757.5</v>
      </c>
      <c r="S30" s="6">
        <f>8.45+17517.14</f>
        <v>17525.59</v>
      </c>
      <c r="T30" s="6"/>
    </row>
    <row r="31" spans="1:20" s="7" customFormat="1" ht="19.5" thickBot="1" x14ac:dyDescent="0.35">
      <c r="A31" s="16"/>
      <c r="B31" s="17">
        <v>43435</v>
      </c>
      <c r="C31" s="6">
        <f>SUM(D31:T31)</f>
        <v>192977.80000000002</v>
      </c>
      <c r="D31" s="18">
        <f>7183.88+494.02</f>
        <v>7677.9</v>
      </c>
      <c r="E31" s="18">
        <f>27716.94+3058.11+1705.98</f>
        <v>32481.03</v>
      </c>
      <c r="F31" s="18">
        <f>4337.32+293.11</f>
        <v>4630.4299999999994</v>
      </c>
      <c r="G31" s="18">
        <f>1289.87+39.64</f>
        <v>1329.51</v>
      </c>
      <c r="H31" s="18"/>
      <c r="I31" s="18"/>
      <c r="J31" s="18">
        <f>179.16+11.54</f>
        <v>190.7</v>
      </c>
      <c r="K31" s="18">
        <f>936.48+59.39</f>
        <v>995.87</v>
      </c>
      <c r="L31" s="18">
        <f>293.93+18.62</f>
        <v>312.55</v>
      </c>
      <c r="M31" s="18">
        <f>259.08+21.07</f>
        <v>280.14999999999998</v>
      </c>
      <c r="N31" s="18">
        <v>80084.66</v>
      </c>
      <c r="O31" s="18">
        <v>7307.5</v>
      </c>
      <c r="P31" s="18">
        <v>6301.64</v>
      </c>
      <c r="Q31" s="18">
        <v>20573</v>
      </c>
      <c r="R31" s="18">
        <v>3457.52</v>
      </c>
      <c r="S31" s="18">
        <v>27355.34</v>
      </c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315683.06999999983</v>
      </c>
      <c r="D32" s="21">
        <f>D5+D6-D19</f>
        <v>2561.3600000000006</v>
      </c>
      <c r="E32" s="21">
        <f t="shared" ref="E32:T32" si="3">E5+E6-E19</f>
        <v>236591.51</v>
      </c>
      <c r="F32" s="21">
        <f t="shared" si="3"/>
        <v>1583.8500000000131</v>
      </c>
      <c r="G32" s="21">
        <f t="shared" si="3"/>
        <v>1169.1800000000021</v>
      </c>
      <c r="H32" s="21">
        <f t="shared" si="3"/>
        <v>0</v>
      </c>
      <c r="I32" s="21">
        <f t="shared" si="3"/>
        <v>0</v>
      </c>
      <c r="J32" s="21">
        <f t="shared" si="3"/>
        <v>164.84999999999945</v>
      </c>
      <c r="K32" s="21">
        <f t="shared" si="3"/>
        <v>410.58999999999833</v>
      </c>
      <c r="L32" s="21">
        <f t="shared" si="3"/>
        <v>203.88999999999987</v>
      </c>
      <c r="M32" s="21">
        <f t="shared" si="3"/>
        <v>168.12999999999965</v>
      </c>
      <c r="N32" s="21">
        <f t="shared" si="3"/>
        <v>59789.080000000075</v>
      </c>
      <c r="O32" s="21">
        <f t="shared" si="3"/>
        <v>-2690.7500000000146</v>
      </c>
      <c r="P32" s="21">
        <f t="shared" si="3"/>
        <v>-2042.0699999999997</v>
      </c>
      <c r="Q32" s="21">
        <f t="shared" si="3"/>
        <v>9725.7799999999988</v>
      </c>
      <c r="R32" s="21">
        <f t="shared" si="3"/>
        <v>-271.11999999999898</v>
      </c>
      <c r="S32" s="21">
        <f t="shared" si="3"/>
        <v>8318.7900000000373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2" customFormat="1" ht="31.5" x14ac:dyDescent="0.5">
      <c r="A34" s="51" t="s">
        <v>81</v>
      </c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4"/>
      <c r="O34" s="55" t="str">
        <f>K1</f>
        <v>г. Кохма, ул. Ивановская, д. 69 корп. 2</v>
      </c>
      <c r="P34" s="53"/>
      <c r="Q34" s="53"/>
      <c r="R34" s="53"/>
      <c r="S34" s="53"/>
      <c r="T34" s="54"/>
    </row>
    <row r="35" spans="1:20" ht="18.75" x14ac:dyDescent="0.3">
      <c r="A35" s="1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7"/>
    </row>
    <row r="36" spans="1:20" ht="69.75" customHeight="1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2" t="s">
        <v>18</v>
      </c>
      <c r="S36" s="2" t="s">
        <v>19</v>
      </c>
      <c r="T36" s="27"/>
    </row>
    <row r="37" spans="1:20" ht="31.5" customHeight="1" x14ac:dyDescent="0.3">
      <c r="A37" s="28"/>
      <c r="B37" s="29" t="s">
        <v>25</v>
      </c>
      <c r="C37" s="6">
        <f>SUM(D37:T37)</f>
        <v>101774.39000000001</v>
      </c>
      <c r="D37" s="6">
        <v>66588.63</v>
      </c>
      <c r="E37" s="6">
        <v>35185.760000000002</v>
      </c>
      <c r="F37" s="6"/>
      <c r="G37" s="6"/>
      <c r="H37" s="6"/>
      <c r="I37" s="6"/>
      <c r="J37" s="6"/>
      <c r="K37" s="6"/>
      <c r="L37" s="6"/>
      <c r="M37" s="30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57" t="s">
        <v>26</v>
      </c>
      <c r="B38" s="57"/>
      <c r="C38" s="31">
        <f>C6</f>
        <v>1945139.4600000002</v>
      </c>
      <c r="D38" s="31">
        <f t="shared" ref="D38:T38" si="4">D6</f>
        <v>95467.66</v>
      </c>
      <c r="E38" s="31">
        <f t="shared" si="4"/>
        <v>368651.73</v>
      </c>
      <c r="F38" s="31">
        <f t="shared" si="4"/>
        <v>56644.250000000007</v>
      </c>
      <c r="G38" s="31">
        <f t="shared" si="4"/>
        <v>16547.460000000003</v>
      </c>
      <c r="H38" s="31">
        <f t="shared" si="4"/>
        <v>0</v>
      </c>
      <c r="I38" s="31">
        <f t="shared" si="4"/>
        <v>0</v>
      </c>
      <c r="J38" s="31">
        <f t="shared" si="4"/>
        <v>2241.6499999999996</v>
      </c>
      <c r="K38" s="31">
        <f t="shared" si="4"/>
        <v>11725.9</v>
      </c>
      <c r="L38" s="31">
        <f t="shared" si="4"/>
        <v>3680.4500000000003</v>
      </c>
      <c r="M38" s="31">
        <f t="shared" si="4"/>
        <v>3260.38</v>
      </c>
      <c r="N38" s="31">
        <f t="shared" si="4"/>
        <v>794766.4</v>
      </c>
      <c r="O38" s="31">
        <f t="shared" si="4"/>
        <v>68942.819999999992</v>
      </c>
      <c r="P38" s="31">
        <f t="shared" si="4"/>
        <v>56612.229999999996</v>
      </c>
      <c r="Q38" s="31">
        <f t="shared" si="4"/>
        <v>181194.86</v>
      </c>
      <c r="R38" s="31">
        <f t="shared" si="4"/>
        <v>28438.57</v>
      </c>
      <c r="S38" s="31">
        <f t="shared" si="4"/>
        <v>256965.10000000003</v>
      </c>
      <c r="T38" s="31">
        <f t="shared" si="4"/>
        <v>0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2141441.7434999994</v>
      </c>
      <c r="D39" s="32">
        <f>D45</f>
        <v>181094.38</v>
      </c>
      <c r="E39" s="32">
        <f>D54+D44</f>
        <v>388837.18349999998</v>
      </c>
      <c r="F39" s="32">
        <f>D94</f>
        <v>94134.579999999987</v>
      </c>
      <c r="G39" s="32">
        <f>D102</f>
        <v>16514.78</v>
      </c>
      <c r="H39" s="32">
        <f>D106</f>
        <v>0</v>
      </c>
      <c r="I39" s="32">
        <f>D111</f>
        <v>0</v>
      </c>
      <c r="J39" s="32">
        <f>D115</f>
        <v>0</v>
      </c>
      <c r="K39" s="32">
        <f>D119</f>
        <v>0</v>
      </c>
      <c r="L39" s="32">
        <f>D124</f>
        <v>0</v>
      </c>
      <c r="M39" s="32">
        <f>D130</f>
        <v>0</v>
      </c>
      <c r="N39" s="32">
        <f>D134</f>
        <v>793741.49</v>
      </c>
      <c r="O39" s="32">
        <f>D138</f>
        <v>84860.98</v>
      </c>
      <c r="P39" s="32">
        <f>D142</f>
        <v>69670.63</v>
      </c>
      <c r="Q39" s="32">
        <f>D146</f>
        <v>205451.41</v>
      </c>
      <c r="R39" s="32">
        <f>D150</f>
        <v>32241.66</v>
      </c>
      <c r="S39" s="32">
        <f>D154</f>
        <v>274894.65000000002</v>
      </c>
      <c r="T39" s="30">
        <f>D158</f>
        <v>0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-94527.893499999307</v>
      </c>
      <c r="D40" s="34">
        <f t="shared" ref="D40:E40" si="5">D37+D38-D39</f>
        <v>-19038.089999999997</v>
      </c>
      <c r="E40" s="34">
        <f t="shared" si="5"/>
        <v>15000.306500000006</v>
      </c>
      <c r="F40" s="34">
        <f t="shared" ref="F40:T40" si="6">F38-F39</f>
        <v>-37490.32999999998</v>
      </c>
      <c r="G40" s="34">
        <f t="shared" si="6"/>
        <v>32.680000000003929</v>
      </c>
      <c r="H40" s="34">
        <f t="shared" si="6"/>
        <v>0</v>
      </c>
      <c r="I40" s="34">
        <f t="shared" si="6"/>
        <v>0</v>
      </c>
      <c r="J40" s="34">
        <f t="shared" si="6"/>
        <v>2241.6499999999996</v>
      </c>
      <c r="K40" s="34">
        <f t="shared" si="6"/>
        <v>11725.9</v>
      </c>
      <c r="L40" s="34">
        <f t="shared" si="6"/>
        <v>3680.4500000000003</v>
      </c>
      <c r="M40" s="34">
        <f t="shared" si="6"/>
        <v>3260.38</v>
      </c>
      <c r="N40" s="34">
        <f t="shared" si="6"/>
        <v>1024.9100000000326</v>
      </c>
      <c r="O40" s="34">
        <f t="shared" si="6"/>
        <v>-15918.160000000003</v>
      </c>
      <c r="P40" s="34">
        <f t="shared" si="6"/>
        <v>-13058.400000000009</v>
      </c>
      <c r="Q40" s="34">
        <f t="shared" si="6"/>
        <v>-24256.550000000017</v>
      </c>
      <c r="R40" s="34">
        <f t="shared" si="6"/>
        <v>-3803.09</v>
      </c>
      <c r="S40" s="34">
        <f t="shared" si="6"/>
        <v>-17929.549999999988</v>
      </c>
      <c r="T40" s="34">
        <f t="shared" si="6"/>
        <v>0</v>
      </c>
    </row>
    <row r="43" spans="1:20" ht="18.75" x14ac:dyDescent="0.3">
      <c r="A43" s="1" t="s">
        <v>29</v>
      </c>
      <c r="D43" s="26">
        <f>D45+D54+D94+D102+D106+D111+D115+D119+D124+D130+D134+D138+D142+D146+D150+D154+D158</f>
        <v>2120239.3499999996</v>
      </c>
      <c r="E43" s="35"/>
    </row>
    <row r="44" spans="1:20" ht="19.5" thickBot="1" x14ac:dyDescent="0.35">
      <c r="A44" s="1" t="s">
        <v>63</v>
      </c>
      <c r="D44" s="35">
        <f>D43*0.01</f>
        <v>21202.393499999998</v>
      </c>
      <c r="E44" s="35"/>
    </row>
    <row r="45" spans="1:20" ht="19.5" thickBot="1" x14ac:dyDescent="0.35">
      <c r="A45" s="58" t="s">
        <v>4</v>
      </c>
      <c r="B45" s="59"/>
      <c r="C45" s="59"/>
      <c r="D45" s="43">
        <f>SUM(D46:D52)</f>
        <v>181094.38</v>
      </c>
      <c r="E45" s="44"/>
    </row>
    <row r="46" spans="1:20" ht="15.75" x14ac:dyDescent="0.25">
      <c r="A46" s="45" t="s">
        <v>74</v>
      </c>
      <c r="D46" s="46">
        <v>3897.54</v>
      </c>
      <c r="E46" s="35"/>
    </row>
    <row r="47" spans="1:20" ht="15.75" x14ac:dyDescent="0.25">
      <c r="A47" s="45" t="s">
        <v>75</v>
      </c>
      <c r="D47" s="46">
        <v>5185</v>
      </c>
      <c r="E47" s="35"/>
    </row>
    <row r="48" spans="1:20" ht="15.75" x14ac:dyDescent="0.25">
      <c r="A48" s="45" t="s">
        <v>76</v>
      </c>
      <c r="D48" s="46">
        <v>171882.06</v>
      </c>
      <c r="E48" s="35"/>
    </row>
    <row r="49" spans="1:5" ht="15.75" x14ac:dyDescent="0.25">
      <c r="A49" s="45" t="s">
        <v>80</v>
      </c>
      <c r="D49" s="46">
        <v>129.78</v>
      </c>
      <c r="E49" s="35"/>
    </row>
    <row r="50" spans="1:5" ht="15.75" hidden="1" x14ac:dyDescent="0.25">
      <c r="A50" s="45"/>
      <c r="D50" s="46"/>
      <c r="E50" s="35"/>
    </row>
    <row r="51" spans="1:5" ht="15.75" hidden="1" x14ac:dyDescent="0.25">
      <c r="A51" s="45"/>
      <c r="D51" s="46"/>
      <c r="E51" s="35"/>
    </row>
    <row r="52" spans="1:5" ht="15.75" hidden="1" x14ac:dyDescent="0.25">
      <c r="A52" s="45"/>
      <c r="D52" s="46"/>
      <c r="E52" s="35"/>
    </row>
    <row r="53" spans="1:5" ht="16.5" thickBot="1" x14ac:dyDescent="0.3">
      <c r="A53" s="45"/>
      <c r="D53" s="35"/>
      <c r="E53" s="35"/>
    </row>
    <row r="54" spans="1:5" ht="19.5" thickBot="1" x14ac:dyDescent="0.35">
      <c r="A54" s="58" t="s">
        <v>5</v>
      </c>
      <c r="B54" s="59"/>
      <c r="C54" s="59"/>
      <c r="D54" s="47">
        <f>SUM(D55:D92)</f>
        <v>367634.79</v>
      </c>
      <c r="E54" s="35"/>
    </row>
    <row r="55" spans="1:5" x14ac:dyDescent="0.25">
      <c r="A55" s="36">
        <v>1</v>
      </c>
      <c r="B55" s="37" t="s">
        <v>30</v>
      </c>
      <c r="D55" s="27"/>
    </row>
    <row r="56" spans="1:5" x14ac:dyDescent="0.25">
      <c r="A56" s="38"/>
      <c r="B56" s="39" t="s">
        <v>31</v>
      </c>
      <c r="C56" s="35"/>
      <c r="D56" s="40">
        <v>174499.28</v>
      </c>
    </row>
    <row r="57" spans="1:5" x14ac:dyDescent="0.25">
      <c r="A57" s="38"/>
      <c r="B57" s="39" t="s">
        <v>32</v>
      </c>
      <c r="C57" s="35"/>
      <c r="D57" s="40">
        <v>3228.87</v>
      </c>
    </row>
    <row r="58" spans="1:5" hidden="1" x14ac:dyDescent="0.25">
      <c r="A58" s="38"/>
      <c r="B58" s="39" t="s">
        <v>64</v>
      </c>
      <c r="C58" s="35"/>
      <c r="D58" s="40"/>
    </row>
    <row r="59" spans="1:5" ht="30" x14ac:dyDescent="0.25">
      <c r="A59" s="38"/>
      <c r="B59" s="39" t="s">
        <v>33</v>
      </c>
      <c r="C59" s="35"/>
      <c r="D59" s="40">
        <v>3319.76</v>
      </c>
    </row>
    <row r="60" spans="1:5" x14ac:dyDescent="0.25">
      <c r="A60" s="38"/>
      <c r="B60" s="39" t="s">
        <v>34</v>
      </c>
      <c r="C60" s="35"/>
      <c r="D60" s="40">
        <v>1612.18</v>
      </c>
    </row>
    <row r="61" spans="1:5" x14ac:dyDescent="0.25">
      <c r="A61" s="38"/>
      <c r="B61" s="39" t="s">
        <v>65</v>
      </c>
      <c r="C61" s="35"/>
      <c r="D61" s="40">
        <v>3995</v>
      </c>
    </row>
    <row r="62" spans="1:5" x14ac:dyDescent="0.25">
      <c r="A62" s="38"/>
      <c r="B62" s="39" t="s">
        <v>35</v>
      </c>
      <c r="C62" s="35"/>
      <c r="D62" s="40">
        <v>989.2</v>
      </c>
    </row>
    <row r="63" spans="1:5" x14ac:dyDescent="0.25">
      <c r="A63" s="38"/>
      <c r="B63" s="39" t="s">
        <v>60</v>
      </c>
      <c r="C63" s="35"/>
      <c r="D63" s="40">
        <v>17634.3</v>
      </c>
    </row>
    <row r="64" spans="1:5" x14ac:dyDescent="0.25">
      <c r="A64" s="38"/>
      <c r="B64" s="39" t="s">
        <v>36</v>
      </c>
      <c r="C64" s="35"/>
      <c r="D64" s="40">
        <v>5332.3</v>
      </c>
    </row>
    <row r="65" spans="1:5" x14ac:dyDescent="0.25">
      <c r="A65" s="38"/>
      <c r="B65" s="39" t="s">
        <v>37</v>
      </c>
      <c r="C65" s="35"/>
      <c r="D65" s="40">
        <v>74.14</v>
      </c>
    </row>
    <row r="66" spans="1:5" x14ac:dyDescent="0.25">
      <c r="A66" s="38"/>
      <c r="B66" s="39" t="s">
        <v>38</v>
      </c>
      <c r="C66" s="35"/>
      <c r="D66" s="40">
        <v>226.01</v>
      </c>
    </row>
    <row r="67" spans="1:5" x14ac:dyDescent="0.25">
      <c r="A67" s="38"/>
      <c r="B67" s="39" t="s">
        <v>39</v>
      </c>
      <c r="C67" s="35"/>
      <c r="D67" s="40">
        <v>372.41</v>
      </c>
    </row>
    <row r="68" spans="1:5" ht="30" x14ac:dyDescent="0.25">
      <c r="A68" s="38"/>
      <c r="B68" s="39" t="s">
        <v>40</v>
      </c>
      <c r="C68" s="35"/>
      <c r="D68" s="40">
        <v>5199.29</v>
      </c>
    </row>
    <row r="69" spans="1:5" x14ac:dyDescent="0.25">
      <c r="A69" s="38"/>
      <c r="B69" s="39" t="s">
        <v>41</v>
      </c>
      <c r="C69" s="35"/>
      <c r="D69" s="40">
        <v>1615.28</v>
      </c>
    </row>
    <row r="70" spans="1:5" x14ac:dyDescent="0.25">
      <c r="A70" s="38"/>
      <c r="B70" s="39" t="s">
        <v>42</v>
      </c>
      <c r="C70" s="35"/>
      <c r="D70" s="40">
        <v>53.37</v>
      </c>
    </row>
    <row r="71" spans="1:5" ht="30" x14ac:dyDescent="0.25">
      <c r="A71" s="38"/>
      <c r="B71" s="39" t="s">
        <v>61</v>
      </c>
      <c r="C71" s="35"/>
      <c r="D71" s="40">
        <v>409.99</v>
      </c>
    </row>
    <row r="72" spans="1:5" x14ac:dyDescent="0.25">
      <c r="A72" s="38"/>
      <c r="B72" s="39" t="s">
        <v>43</v>
      </c>
      <c r="C72" s="35"/>
      <c r="D72" s="40">
        <v>218.17</v>
      </c>
    </row>
    <row r="73" spans="1:5" x14ac:dyDescent="0.25">
      <c r="A73" s="38"/>
      <c r="B73" s="39" t="s">
        <v>44</v>
      </c>
      <c r="C73" s="35"/>
      <c r="D73" s="40">
        <v>79.44</v>
      </c>
      <c r="E73" s="27"/>
    </row>
    <row r="74" spans="1:5" x14ac:dyDescent="0.25">
      <c r="A74" s="38"/>
      <c r="B74" s="39" t="s">
        <v>45</v>
      </c>
      <c r="C74" s="35"/>
      <c r="D74" s="40">
        <v>8550.58</v>
      </c>
    </row>
    <row r="75" spans="1:5" x14ac:dyDescent="0.25">
      <c r="A75" s="38"/>
      <c r="B75" s="39" t="s">
        <v>46</v>
      </c>
      <c r="C75" s="35"/>
      <c r="D75" s="40">
        <v>12</v>
      </c>
    </row>
    <row r="76" spans="1:5" x14ac:dyDescent="0.25">
      <c r="A76" s="38"/>
      <c r="B76" s="39" t="s">
        <v>47</v>
      </c>
      <c r="C76" s="35"/>
      <c r="D76" s="40">
        <v>1787.57</v>
      </c>
    </row>
    <row r="77" spans="1:5" x14ac:dyDescent="0.25">
      <c r="A77" s="38"/>
      <c r="B77" s="39"/>
      <c r="C77" s="35"/>
      <c r="D77" s="35"/>
    </row>
    <row r="78" spans="1:5" x14ac:dyDescent="0.25">
      <c r="A78" s="38"/>
      <c r="B78" s="48"/>
      <c r="C78" s="35"/>
      <c r="D78" s="35"/>
    </row>
    <row r="79" spans="1:5" x14ac:dyDescent="0.25">
      <c r="A79" s="36" t="s">
        <v>49</v>
      </c>
      <c r="B79" s="37" t="s">
        <v>50</v>
      </c>
      <c r="C79" s="35"/>
      <c r="D79" s="27"/>
    </row>
    <row r="80" spans="1:5" ht="30" x14ac:dyDescent="0.25">
      <c r="A80" s="37"/>
      <c r="B80" s="39" t="s">
        <v>51</v>
      </c>
      <c r="C80" s="35"/>
      <c r="D80" s="27">
        <v>86234.72</v>
      </c>
    </row>
    <row r="81" spans="1:4" ht="30" x14ac:dyDescent="0.25">
      <c r="B81" s="39" t="s">
        <v>48</v>
      </c>
      <c r="C81" s="35"/>
      <c r="D81" s="35">
        <v>7606.22</v>
      </c>
    </row>
    <row r="82" spans="1:4" ht="60" x14ac:dyDescent="0.25">
      <c r="B82" s="39" t="s">
        <v>52</v>
      </c>
      <c r="C82" s="35"/>
      <c r="D82" s="35">
        <v>253.27</v>
      </c>
    </row>
    <row r="83" spans="1:4" ht="30" x14ac:dyDescent="0.25">
      <c r="B83" s="39" t="s">
        <v>53</v>
      </c>
      <c r="C83" s="35"/>
      <c r="D83" s="35">
        <v>3000</v>
      </c>
    </row>
    <row r="84" spans="1:4" ht="30" hidden="1" x14ac:dyDescent="0.25">
      <c r="B84" s="39" t="s">
        <v>54</v>
      </c>
      <c r="C84" s="35"/>
      <c r="D84" s="35"/>
    </row>
    <row r="85" spans="1:4" x14ac:dyDescent="0.25">
      <c r="B85" s="39" t="s">
        <v>55</v>
      </c>
      <c r="C85" s="35"/>
      <c r="D85" s="35">
        <v>1656</v>
      </c>
    </row>
    <row r="86" spans="1:4" ht="30" hidden="1" x14ac:dyDescent="0.25">
      <c r="B86" s="39" t="s">
        <v>56</v>
      </c>
      <c r="C86" s="35"/>
      <c r="D86" s="35"/>
    </row>
    <row r="87" spans="1:4" hidden="1" x14ac:dyDescent="0.25">
      <c r="B87" t="s">
        <v>57</v>
      </c>
      <c r="C87" s="35"/>
      <c r="D87" s="35"/>
    </row>
    <row r="88" spans="1:4" x14ac:dyDescent="0.25">
      <c r="B88" s="39" t="s">
        <v>77</v>
      </c>
      <c r="C88" s="35"/>
      <c r="D88" s="35">
        <v>1387.5</v>
      </c>
    </row>
    <row r="89" spans="1:4" ht="30" x14ac:dyDescent="0.25">
      <c r="B89" s="39" t="s">
        <v>78</v>
      </c>
      <c r="C89" s="35"/>
      <c r="D89" s="35">
        <v>17500</v>
      </c>
    </row>
    <row r="90" spans="1:4" x14ac:dyDescent="0.25">
      <c r="B90" t="s">
        <v>58</v>
      </c>
      <c r="C90" s="35"/>
      <c r="D90" s="35">
        <v>20787.939999999999</v>
      </c>
    </row>
    <row r="91" spans="1:4" x14ac:dyDescent="0.25">
      <c r="C91" s="35"/>
      <c r="D91" s="35"/>
    </row>
    <row r="92" spans="1:4" x14ac:dyDescent="0.25">
      <c r="C92" s="35"/>
      <c r="D92" s="35"/>
    </row>
    <row r="93" spans="1:4" ht="15.75" thickBot="1" x14ac:dyDescent="0.3">
      <c r="C93" s="35"/>
      <c r="D93" s="35"/>
    </row>
    <row r="94" spans="1:4" ht="19.5" thickBot="1" x14ac:dyDescent="0.35">
      <c r="A94" s="58" t="s">
        <v>6</v>
      </c>
      <c r="B94" s="59"/>
      <c r="C94" s="59"/>
      <c r="D94" s="49">
        <f>SUM(D95:D101)</f>
        <v>94134.579999999987</v>
      </c>
    </row>
    <row r="95" spans="1:4" x14ac:dyDescent="0.25">
      <c r="A95" t="s">
        <v>66</v>
      </c>
      <c r="C95" s="35"/>
      <c r="D95" s="35">
        <v>74771.259999999995</v>
      </c>
    </row>
    <row r="96" spans="1:4" x14ac:dyDescent="0.25">
      <c r="A96" t="s">
        <v>67</v>
      </c>
      <c r="C96" s="35"/>
      <c r="D96" s="35">
        <v>84.42</v>
      </c>
    </row>
    <row r="97" spans="1:5" x14ac:dyDescent="0.25">
      <c r="A97" t="s">
        <v>68</v>
      </c>
      <c r="C97" s="35"/>
      <c r="D97" s="35">
        <v>2649.91</v>
      </c>
    </row>
    <row r="98" spans="1:5" x14ac:dyDescent="0.25">
      <c r="A98" t="s">
        <v>69</v>
      </c>
      <c r="C98" s="35"/>
      <c r="D98" s="35">
        <v>882.04</v>
      </c>
    </row>
    <row r="99" spans="1:5" x14ac:dyDescent="0.25">
      <c r="A99" t="s">
        <v>79</v>
      </c>
      <c r="C99" s="35"/>
      <c r="D99" s="35">
        <v>15746.95</v>
      </c>
    </row>
    <row r="100" spans="1:5" x14ac:dyDescent="0.25">
      <c r="C100" s="35"/>
      <c r="D100" s="35"/>
    </row>
    <row r="101" spans="1:5" ht="15.75" thickBot="1" x14ac:dyDescent="0.3">
      <c r="A101" s="38"/>
      <c r="B101" s="39"/>
      <c r="C101" s="35"/>
      <c r="D101" s="35"/>
    </row>
    <row r="102" spans="1:5" ht="15.75" thickBot="1" x14ac:dyDescent="0.3">
      <c r="A102" s="50" t="s">
        <v>7</v>
      </c>
      <c r="B102" s="41"/>
      <c r="C102" s="42"/>
      <c r="D102" s="49">
        <v>16514.78</v>
      </c>
    </row>
    <row r="103" spans="1:5" x14ac:dyDescent="0.25">
      <c r="A103" s="38"/>
      <c r="B103" s="39"/>
      <c r="C103" s="35"/>
      <c r="D103" s="35"/>
    </row>
    <row r="104" spans="1:5" hidden="1" x14ac:dyDescent="0.25">
      <c r="A104" s="38"/>
      <c r="B104" s="39"/>
      <c r="C104" s="35"/>
      <c r="D104" s="35"/>
    </row>
    <row r="105" spans="1:5" ht="15.75" hidden="1" thickBot="1" x14ac:dyDescent="0.3">
      <c r="A105" s="38"/>
      <c r="B105" s="39"/>
      <c r="C105" s="35"/>
      <c r="D105" s="35"/>
    </row>
    <row r="106" spans="1:5" ht="15.75" hidden="1" thickBot="1" x14ac:dyDescent="0.3">
      <c r="A106" s="50" t="s">
        <v>8</v>
      </c>
      <c r="B106" s="41"/>
      <c r="C106" s="42"/>
      <c r="D106" s="49">
        <f>SUM(D107:D110)</f>
        <v>0</v>
      </c>
    </row>
    <row r="107" spans="1:5" hidden="1" x14ac:dyDescent="0.25">
      <c r="A107" s="38" t="s">
        <v>62</v>
      </c>
      <c r="B107" s="39"/>
      <c r="C107" s="35"/>
      <c r="D107" s="35"/>
    </row>
    <row r="108" spans="1:5" hidden="1" x14ac:dyDescent="0.25">
      <c r="A108" s="38" t="s">
        <v>70</v>
      </c>
      <c r="B108" s="39"/>
      <c r="C108" s="35"/>
      <c r="D108" s="35"/>
    </row>
    <row r="109" spans="1:5" hidden="1" x14ac:dyDescent="0.25">
      <c r="A109" s="38" t="s">
        <v>71</v>
      </c>
      <c r="B109" s="39"/>
      <c r="C109" s="35"/>
      <c r="D109" s="35"/>
    </row>
    <row r="110" spans="1:5" ht="15.75" hidden="1" thickBot="1" x14ac:dyDescent="0.3">
      <c r="A110" s="38"/>
      <c r="B110" s="39"/>
      <c r="C110" s="35"/>
      <c r="D110" s="35"/>
    </row>
    <row r="111" spans="1:5" ht="15.75" hidden="1" thickBot="1" x14ac:dyDescent="0.3">
      <c r="A111" s="50" t="s">
        <v>9</v>
      </c>
      <c r="B111" s="41"/>
      <c r="C111" s="42"/>
      <c r="D111" s="49">
        <f>SUM(D112:D114)</f>
        <v>0</v>
      </c>
    </row>
    <row r="112" spans="1:5" hidden="1" x14ac:dyDescent="0.25">
      <c r="A112" s="38" t="s">
        <v>72</v>
      </c>
      <c r="B112" s="39"/>
      <c r="C112" s="35"/>
      <c r="D112" s="35"/>
      <c r="E112" s="27"/>
    </row>
    <row r="113" spans="1:4" hidden="1" x14ac:dyDescent="0.25">
      <c r="A113" s="38" t="s">
        <v>73</v>
      </c>
      <c r="B113" s="39"/>
      <c r="C113" s="35"/>
      <c r="D113" s="35"/>
    </row>
    <row r="114" spans="1:4" ht="15.75" hidden="1" thickBot="1" x14ac:dyDescent="0.3">
      <c r="A114" s="38"/>
      <c r="B114" s="39"/>
      <c r="C114" s="35"/>
      <c r="D114" s="35"/>
    </row>
    <row r="115" spans="1:4" ht="15.75" hidden="1" thickBot="1" x14ac:dyDescent="0.3">
      <c r="A115" s="50" t="s">
        <v>10</v>
      </c>
      <c r="B115" s="41"/>
      <c r="C115" s="42"/>
      <c r="D115" s="49"/>
    </row>
    <row r="116" spans="1:4" hidden="1" x14ac:dyDescent="0.25">
      <c r="A116" s="38"/>
      <c r="B116" s="39"/>
      <c r="C116" s="35"/>
      <c r="D116" s="35"/>
    </row>
    <row r="117" spans="1:4" hidden="1" x14ac:dyDescent="0.25">
      <c r="A117" s="38"/>
      <c r="B117" s="48"/>
      <c r="C117" s="35"/>
      <c r="D117" s="35"/>
    </row>
    <row r="118" spans="1:4" ht="15.75" hidden="1" thickBot="1" x14ac:dyDescent="0.3">
      <c r="A118" s="36"/>
      <c r="B118" s="37"/>
      <c r="C118" s="35"/>
      <c r="D118" s="27"/>
    </row>
    <row r="119" spans="1:4" ht="15.75" hidden="1" thickBot="1" x14ac:dyDescent="0.3">
      <c r="A119" s="50" t="s">
        <v>11</v>
      </c>
      <c r="B119" s="41"/>
      <c r="C119" s="42"/>
      <c r="D119" s="49"/>
    </row>
    <row r="120" spans="1:4" hidden="1" x14ac:dyDescent="0.25">
      <c r="B120" s="39"/>
      <c r="C120" s="35"/>
      <c r="D120" s="35"/>
    </row>
    <row r="121" spans="1:4" hidden="1" x14ac:dyDescent="0.25">
      <c r="B121" s="39"/>
      <c r="C121" s="35"/>
      <c r="D121" s="35"/>
    </row>
    <row r="122" spans="1:4" hidden="1" x14ac:dyDescent="0.25">
      <c r="B122" s="39"/>
      <c r="C122" s="35"/>
      <c r="D122" s="35"/>
    </row>
    <row r="123" spans="1:4" ht="15.75" hidden="1" thickBot="1" x14ac:dyDescent="0.3">
      <c r="B123" s="39"/>
      <c r="C123" s="35"/>
      <c r="D123" s="35"/>
    </row>
    <row r="124" spans="1:4" ht="15.75" hidden="1" thickBot="1" x14ac:dyDescent="0.3">
      <c r="A124" s="50" t="s">
        <v>12</v>
      </c>
      <c r="B124" s="41"/>
      <c r="C124" s="42"/>
      <c r="D124" s="49"/>
    </row>
    <row r="125" spans="1:4" hidden="1" x14ac:dyDescent="0.25">
      <c r="B125" s="39"/>
      <c r="C125" s="35"/>
      <c r="D125" s="35"/>
    </row>
    <row r="126" spans="1:4" hidden="1" x14ac:dyDescent="0.25">
      <c r="C126" s="35"/>
      <c r="D126" s="35"/>
    </row>
    <row r="127" spans="1:4" hidden="1" x14ac:dyDescent="0.25">
      <c r="B127" s="39"/>
      <c r="C127" s="35"/>
      <c r="D127" s="35"/>
    </row>
    <row r="128" spans="1:4" hidden="1" x14ac:dyDescent="0.25">
      <c r="C128" s="35"/>
      <c r="D128" s="35"/>
    </row>
    <row r="129" spans="1:4" ht="15.75" hidden="1" thickBot="1" x14ac:dyDescent="0.3">
      <c r="C129" s="35"/>
      <c r="D129" s="35"/>
    </row>
    <row r="130" spans="1:4" ht="15.75" hidden="1" thickBot="1" x14ac:dyDescent="0.3">
      <c r="A130" s="50" t="s">
        <v>13</v>
      </c>
      <c r="B130" s="41"/>
      <c r="C130" s="42"/>
      <c r="D130" s="49"/>
    </row>
    <row r="131" spans="1:4" hidden="1" x14ac:dyDescent="0.25">
      <c r="A131" s="56"/>
      <c r="B131" s="56"/>
      <c r="C131" s="56"/>
      <c r="D131" s="27"/>
    </row>
    <row r="132" spans="1:4" x14ac:dyDescent="0.25">
      <c r="B132" s="39"/>
      <c r="C132" s="35"/>
      <c r="D132" s="35"/>
    </row>
    <row r="133" spans="1:4" ht="15.75" thickBot="1" x14ac:dyDescent="0.3">
      <c r="B133" s="39"/>
      <c r="C133" s="35"/>
      <c r="D133" s="35"/>
    </row>
    <row r="134" spans="1:4" ht="15.75" thickBot="1" x14ac:dyDescent="0.3">
      <c r="A134" s="50" t="s">
        <v>14</v>
      </c>
      <c r="B134" s="41"/>
      <c r="C134" s="42"/>
      <c r="D134" s="49">
        <v>793741.49</v>
      </c>
    </row>
    <row r="135" spans="1:4" x14ac:dyDescent="0.25">
      <c r="B135" s="39"/>
      <c r="C135" s="35"/>
      <c r="D135" s="35"/>
    </row>
    <row r="136" spans="1:4" x14ac:dyDescent="0.25">
      <c r="B136" s="39"/>
      <c r="C136" s="35"/>
      <c r="D136" s="35"/>
    </row>
    <row r="137" spans="1:4" ht="15.75" thickBot="1" x14ac:dyDescent="0.3">
      <c r="B137" s="39"/>
      <c r="C137" s="35"/>
      <c r="D137" s="35"/>
    </row>
    <row r="138" spans="1:4" ht="15.75" thickBot="1" x14ac:dyDescent="0.3">
      <c r="A138" s="50" t="s">
        <v>15</v>
      </c>
      <c r="B138" s="41"/>
      <c r="C138" s="42"/>
      <c r="D138" s="49">
        <v>84860.98</v>
      </c>
    </row>
    <row r="139" spans="1:4" x14ac:dyDescent="0.25">
      <c r="C139" s="35"/>
      <c r="D139" s="35"/>
    </row>
    <row r="140" spans="1:4" x14ac:dyDescent="0.25">
      <c r="C140" s="35"/>
      <c r="D140" s="35"/>
    </row>
    <row r="141" spans="1:4" ht="15.75" thickBot="1" x14ac:dyDescent="0.3">
      <c r="A141" s="56"/>
      <c r="B141" s="56"/>
      <c r="C141" s="56"/>
      <c r="D141" s="27"/>
    </row>
    <row r="142" spans="1:4" ht="15.75" thickBot="1" x14ac:dyDescent="0.3">
      <c r="A142" s="50" t="s">
        <v>16</v>
      </c>
      <c r="B142" s="41"/>
      <c r="C142" s="42"/>
      <c r="D142" s="49">
        <v>69670.63</v>
      </c>
    </row>
    <row r="143" spans="1:4" x14ac:dyDescent="0.25">
      <c r="C143" s="35"/>
      <c r="D143" s="35"/>
    </row>
    <row r="144" spans="1:4" x14ac:dyDescent="0.25">
      <c r="C144" s="35"/>
      <c r="D144" s="35"/>
    </row>
    <row r="145" spans="1:4" ht="15.75" thickBot="1" x14ac:dyDescent="0.3">
      <c r="A145" s="56"/>
      <c r="B145" s="56"/>
      <c r="C145" s="56"/>
      <c r="D145" s="27"/>
    </row>
    <row r="146" spans="1:4" ht="15.75" thickBot="1" x14ac:dyDescent="0.3">
      <c r="A146" s="50" t="s">
        <v>17</v>
      </c>
      <c r="B146" s="41"/>
      <c r="C146" s="42"/>
      <c r="D146" s="49">
        <v>205451.41</v>
      </c>
    </row>
    <row r="147" spans="1:4" x14ac:dyDescent="0.25">
      <c r="C147" s="35"/>
      <c r="D147" s="35"/>
    </row>
    <row r="148" spans="1:4" x14ac:dyDescent="0.25">
      <c r="C148" s="35"/>
      <c r="D148" s="35"/>
    </row>
    <row r="149" spans="1:4" ht="15.75" thickBot="1" x14ac:dyDescent="0.3">
      <c r="A149" s="56"/>
      <c r="B149" s="56"/>
      <c r="C149" s="56"/>
      <c r="D149" s="27"/>
    </row>
    <row r="150" spans="1:4" ht="15.75" thickBot="1" x14ac:dyDescent="0.3">
      <c r="A150" s="50" t="s">
        <v>18</v>
      </c>
      <c r="B150" s="41"/>
      <c r="C150" s="42"/>
      <c r="D150" s="49">
        <v>32241.66</v>
      </c>
    </row>
    <row r="151" spans="1:4" x14ac:dyDescent="0.25">
      <c r="C151" s="35"/>
      <c r="D151" s="35"/>
    </row>
    <row r="152" spans="1:4" x14ac:dyDescent="0.25">
      <c r="C152" s="35"/>
      <c r="D152" s="35"/>
    </row>
    <row r="153" spans="1:4" ht="15.75" thickBot="1" x14ac:dyDescent="0.3">
      <c r="A153" s="56"/>
      <c r="B153" s="56"/>
      <c r="C153" s="56"/>
      <c r="D153" s="27"/>
    </row>
    <row r="154" spans="1:4" ht="15.75" thickBot="1" x14ac:dyDescent="0.3">
      <c r="A154" s="50" t="s">
        <v>19</v>
      </c>
      <c r="B154" s="41"/>
      <c r="C154" s="42"/>
      <c r="D154" s="49">
        <v>274894.65000000002</v>
      </c>
    </row>
    <row r="155" spans="1:4" x14ac:dyDescent="0.25">
      <c r="C155" s="35"/>
      <c r="D155" s="35"/>
    </row>
    <row r="156" spans="1:4" hidden="1" x14ac:dyDescent="0.25">
      <c r="C156" s="35"/>
      <c r="D156" s="35"/>
    </row>
    <row r="157" spans="1:4" ht="15.75" hidden="1" thickBot="1" x14ac:dyDescent="0.3">
      <c r="A157" s="56"/>
      <c r="B157" s="56"/>
      <c r="C157" s="56"/>
      <c r="D157" s="27"/>
    </row>
    <row r="158" spans="1:4" ht="15.75" hidden="1" thickBot="1" x14ac:dyDescent="0.3">
      <c r="A158" s="50" t="s">
        <v>20</v>
      </c>
      <c r="B158" s="41"/>
      <c r="C158" s="42"/>
      <c r="D158" s="49"/>
    </row>
    <row r="159" spans="1:4" hidden="1" x14ac:dyDescent="0.25">
      <c r="C159" s="35"/>
      <c r="D159" s="35"/>
    </row>
    <row r="160" spans="1:4" x14ac:dyDescent="0.25">
      <c r="C160" s="35"/>
      <c r="D160" s="35"/>
    </row>
    <row r="161" spans="1:4" x14ac:dyDescent="0.25">
      <c r="A161" s="56"/>
      <c r="B161" s="56"/>
      <c r="C161" s="56"/>
      <c r="D161" s="27"/>
    </row>
    <row r="162" spans="1:4" x14ac:dyDescent="0.25">
      <c r="B162" t="s">
        <v>82</v>
      </c>
    </row>
    <row r="166" spans="1:4" x14ac:dyDescent="0.25">
      <c r="B166" t="s">
        <v>83</v>
      </c>
    </row>
  </sheetData>
  <mergeCells count="11">
    <mergeCell ref="A161:C161"/>
    <mergeCell ref="A145:C145"/>
    <mergeCell ref="A149:C149"/>
    <mergeCell ref="A153:C153"/>
    <mergeCell ref="A157:C157"/>
    <mergeCell ref="A131:C131"/>
    <mergeCell ref="A141:C141"/>
    <mergeCell ref="A38:B38"/>
    <mergeCell ref="A45:C45"/>
    <mergeCell ref="A54:C54"/>
    <mergeCell ref="A94:C94"/>
  </mergeCells>
  <pageMargins left="0.51181102362204722" right="0.51181102362204722" top="0.94488188976377963" bottom="0.74803149606299213" header="0.31496062992125984" footer="0.31496062992125984"/>
  <pageSetup paperSize="9" scale="48" fitToHeight="0" orientation="landscape" r:id="rId1"/>
  <rowBreaks count="2" manualBreakCount="2">
    <brk id="33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Ив.69_2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2019-03-27T14:32:59Z</dcterms:modified>
</cp:coreProperties>
</file>