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8CCAF52C-0150-408B-A9C1-262C7DDC522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Маш.18" sheetId="6" r:id="rId1"/>
  </sheets>
  <calcPr calcId="181029"/>
</workbook>
</file>

<file path=xl/calcChain.xml><?xml version="1.0" encoding="utf-8"?>
<calcChain xmlns="http://schemas.openxmlformats.org/spreadsheetml/2006/main">
  <c r="M34" i="6" l="1"/>
  <c r="D106" i="6" l="1"/>
  <c r="D101" i="6"/>
  <c r="D89" i="6"/>
  <c r="F39" i="6" s="1"/>
  <c r="D49" i="6"/>
  <c r="D45" i="6"/>
  <c r="D39" i="6" s="1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C37" i="6"/>
  <c r="M31" i="6"/>
  <c r="L31" i="6"/>
  <c r="J31" i="6"/>
  <c r="G31" i="6"/>
  <c r="F31" i="6"/>
  <c r="E31" i="6"/>
  <c r="D31" i="6"/>
  <c r="S30" i="6"/>
  <c r="P30" i="6"/>
  <c r="O30" i="6"/>
  <c r="N30" i="6"/>
  <c r="E30" i="6"/>
  <c r="P29" i="6"/>
  <c r="F29" i="6"/>
  <c r="E29" i="6"/>
  <c r="D29" i="6"/>
  <c r="S28" i="6"/>
  <c r="P28" i="6"/>
  <c r="N28" i="6"/>
  <c r="E28" i="6"/>
  <c r="S27" i="6"/>
  <c r="P27" i="6"/>
  <c r="O27" i="6"/>
  <c r="N27" i="6"/>
  <c r="E27" i="6"/>
  <c r="D27" i="6"/>
  <c r="S26" i="6"/>
  <c r="P26" i="6"/>
  <c r="O26" i="6"/>
  <c r="N26" i="6"/>
  <c r="J26" i="6"/>
  <c r="G26" i="6"/>
  <c r="E26" i="6"/>
  <c r="D26" i="6"/>
  <c r="S25" i="6"/>
  <c r="P25" i="6"/>
  <c r="O25" i="6"/>
  <c r="N25" i="6"/>
  <c r="E25" i="6"/>
  <c r="S24" i="6"/>
  <c r="P24" i="6"/>
  <c r="O24" i="6"/>
  <c r="N24" i="6"/>
  <c r="E24" i="6"/>
  <c r="S23" i="6"/>
  <c r="P23" i="6"/>
  <c r="O23" i="6"/>
  <c r="N23" i="6"/>
  <c r="M23" i="6"/>
  <c r="M19" i="6" s="1"/>
  <c r="L23" i="6"/>
  <c r="J23" i="6"/>
  <c r="J19" i="6" s="1"/>
  <c r="G23" i="6"/>
  <c r="F23" i="6"/>
  <c r="E23" i="6"/>
  <c r="D23" i="6"/>
  <c r="E22" i="6"/>
  <c r="C22" i="6" s="1"/>
  <c r="E21" i="6"/>
  <c r="C21" i="6" s="1"/>
  <c r="E20" i="6"/>
  <c r="C20" i="6" s="1"/>
  <c r="T19" i="6"/>
  <c r="R19" i="6"/>
  <c r="Q19" i="6"/>
  <c r="L19" i="6"/>
  <c r="K19" i="6"/>
  <c r="I19" i="6"/>
  <c r="H19" i="6"/>
  <c r="F19" i="6"/>
  <c r="C18" i="6"/>
  <c r="C17" i="6"/>
  <c r="C16" i="6"/>
  <c r="C15" i="6"/>
  <c r="C14" i="6"/>
  <c r="C13" i="6"/>
  <c r="P12" i="6"/>
  <c r="O12" i="6"/>
  <c r="S11" i="6"/>
  <c r="P11" i="6"/>
  <c r="O11" i="6"/>
  <c r="S10" i="6"/>
  <c r="P10" i="6"/>
  <c r="O10" i="6"/>
  <c r="N10" i="6"/>
  <c r="N6" i="6" s="1"/>
  <c r="E10" i="6"/>
  <c r="C9" i="6"/>
  <c r="C8" i="6"/>
  <c r="E7" i="6"/>
  <c r="C7" i="6" s="1"/>
  <c r="T6" i="6"/>
  <c r="T38" i="6" s="1"/>
  <c r="R6" i="6"/>
  <c r="R38" i="6" s="1"/>
  <c r="Q6" i="6"/>
  <c r="M6" i="6"/>
  <c r="M32" i="6" s="1"/>
  <c r="L6" i="6"/>
  <c r="L38" i="6" s="1"/>
  <c r="K6" i="6"/>
  <c r="K38" i="6" s="1"/>
  <c r="J6" i="6"/>
  <c r="J38" i="6" s="1"/>
  <c r="I6" i="6"/>
  <c r="H6" i="6"/>
  <c r="H38" i="6" s="1"/>
  <c r="G6" i="6"/>
  <c r="G38" i="6" s="1"/>
  <c r="F6" i="6"/>
  <c r="F38" i="6" s="1"/>
  <c r="D6" i="6"/>
  <c r="D38" i="6" s="1"/>
  <c r="I32" i="6" l="1"/>
  <c r="Q32" i="6"/>
  <c r="C23" i="6"/>
  <c r="O19" i="6"/>
  <c r="C29" i="6"/>
  <c r="C31" i="6"/>
  <c r="S6" i="6"/>
  <c r="S38" i="6" s="1"/>
  <c r="S40" i="6" s="1"/>
  <c r="C11" i="6"/>
  <c r="E6" i="6"/>
  <c r="P6" i="6"/>
  <c r="P38" i="6" s="1"/>
  <c r="P40" i="6" s="1"/>
  <c r="O6" i="6"/>
  <c r="O38" i="6" s="1"/>
  <c r="C12" i="6"/>
  <c r="D19" i="6"/>
  <c r="N19" i="6"/>
  <c r="N32" i="6" s="1"/>
  <c r="C24" i="6"/>
  <c r="C26" i="6"/>
  <c r="G40" i="6"/>
  <c r="K40" i="6"/>
  <c r="O40" i="6"/>
  <c r="F40" i="6"/>
  <c r="D32" i="6"/>
  <c r="J32" i="6"/>
  <c r="S19" i="6"/>
  <c r="S32" i="6" s="1"/>
  <c r="C27" i="6"/>
  <c r="H40" i="6"/>
  <c r="L40" i="6"/>
  <c r="T40" i="6"/>
  <c r="F32" i="6"/>
  <c r="R32" i="6"/>
  <c r="G19" i="6"/>
  <c r="P19" i="6"/>
  <c r="C28" i="6"/>
  <c r="C30" i="6"/>
  <c r="H32" i="6"/>
  <c r="L32" i="6"/>
  <c r="T32" i="6"/>
  <c r="C25" i="6"/>
  <c r="D40" i="6"/>
  <c r="J40" i="6"/>
  <c r="R40" i="6"/>
  <c r="D43" i="6"/>
  <c r="D44" i="6" s="1"/>
  <c r="E39" i="6" s="1"/>
  <c r="C39" i="6" s="1"/>
  <c r="N38" i="6"/>
  <c r="N40" i="6" s="1"/>
  <c r="G32" i="6"/>
  <c r="K32" i="6"/>
  <c r="C10" i="6"/>
  <c r="E38" i="6"/>
  <c r="I38" i="6"/>
  <c r="I40" i="6" s="1"/>
  <c r="M38" i="6"/>
  <c r="M40" i="6" s="1"/>
  <c r="Q38" i="6"/>
  <c r="Q40" i="6" s="1"/>
  <c r="E19" i="6"/>
  <c r="E32" i="6" s="1"/>
  <c r="P32" i="6" l="1"/>
  <c r="C6" i="6"/>
  <c r="C38" i="6" s="1"/>
  <c r="C40" i="6" s="1"/>
  <c r="O32" i="6"/>
  <c r="E40" i="6"/>
  <c r="C19" i="6"/>
  <c r="C32" i="6" s="1"/>
</calcChain>
</file>

<file path=xl/sharedStrings.xml><?xml version="1.0" encoding="utf-8"?>
<sst xmlns="http://schemas.openxmlformats.org/spreadsheetml/2006/main" count="118" uniqueCount="82">
  <si>
    <t>Отчет по начислениям и оплатам за 2018год</t>
  </si>
  <si>
    <t>№ п/п</t>
  </si>
  <si>
    <t>Наименование статей</t>
  </si>
  <si>
    <t>Всего:</t>
  </si>
  <si>
    <t>Текущий ремонт</t>
  </si>
  <si>
    <t>Содержание и обслуживание общего имущества</t>
  </si>
  <si>
    <t>Содержание придомовой территории</t>
  </si>
  <si>
    <t>ТО ВДГО</t>
  </si>
  <si>
    <t>Содержание лифтов</t>
  </si>
  <si>
    <t>Уборка МОП</t>
  </si>
  <si>
    <t>ОДН ХВС</t>
  </si>
  <si>
    <t>ОДН ГВС</t>
  </si>
  <si>
    <t>ОДН КНС</t>
  </si>
  <si>
    <t>ОДН Эл</t>
  </si>
  <si>
    <t>Отопление</t>
  </si>
  <si>
    <t>Холодное водоснабжение</t>
  </si>
  <si>
    <t>Водоотведение ХВС</t>
  </si>
  <si>
    <t>Горячее водоснабжение</t>
  </si>
  <si>
    <t>Водоотведение ГВС</t>
  </si>
  <si>
    <t>Электроснабжение</t>
  </si>
  <si>
    <t>Газоснабжение</t>
  </si>
  <si>
    <t>Долг на начало года</t>
  </si>
  <si>
    <t>Начислено  жителям за 2018год:</t>
  </si>
  <si>
    <t>Оплачено за 2018 год</t>
  </si>
  <si>
    <t>Задолженность жителей на конец года</t>
  </si>
  <si>
    <t>Остаток средств на начало года</t>
  </si>
  <si>
    <t>Наличие средств для выполнения работ в текущем периоде, руб</t>
  </si>
  <si>
    <t>Выполнено работ, услуг</t>
  </si>
  <si>
    <t>Остаток средств на конец года</t>
  </si>
  <si>
    <t>Расшифровка затрат по статьям:</t>
  </si>
  <si>
    <t>Управление всего, в т.ч.</t>
  </si>
  <si>
    <t>ФОТ на оплату труда упр персонала</t>
  </si>
  <si>
    <t>Почтовые расходы</t>
  </si>
  <si>
    <t>Аренда личного танспорта работников</t>
  </si>
  <si>
    <t>РКО</t>
  </si>
  <si>
    <t>Программное обеспечение</t>
  </si>
  <si>
    <t>Содержание офиса (аренда, КУ)</t>
  </si>
  <si>
    <t>Оргтехника и обслуживание</t>
  </si>
  <si>
    <t>Обслуживание сайта</t>
  </si>
  <si>
    <t>Обслуживание ККМ и ККТ</t>
  </si>
  <si>
    <t>Размещение информации в газете</t>
  </si>
  <si>
    <t>Офисные расходы (мебель, канцтовары, бланки)</t>
  </si>
  <si>
    <t>Связь</t>
  </si>
  <si>
    <t>Командировки</t>
  </si>
  <si>
    <t>Охрана труда (оценка, защ.средства, быт.техника)</t>
  </si>
  <si>
    <t>Обучение персонала</t>
  </si>
  <si>
    <t>ЭЦП и электронная отчетность</t>
  </si>
  <si>
    <t>Юридические услуги</t>
  </si>
  <si>
    <t>Проезд сотрудников</t>
  </si>
  <si>
    <t>Взносы в НП СРО "МГУ ЖКХ"</t>
  </si>
  <si>
    <t>Аварийно-диспетчерское обслуживание</t>
  </si>
  <si>
    <t>2.</t>
  </si>
  <si>
    <t>Содержание общего имущества всего, в т.ч.</t>
  </si>
  <si>
    <t>ФОТ технического персонала с отчислениями</t>
  </si>
  <si>
    <t>Услуги по оборудованию и обслуживанию мест первичного сбора и накопления отработанных ртутьсодержащих ламп</t>
  </si>
  <si>
    <t>Снятие показаний и проверка работоспособности УУТЭ</t>
  </si>
  <si>
    <t>Проверка достоверности показаний ИПУ</t>
  </si>
  <si>
    <t>Проверка дымоходов и вентканалов</t>
  </si>
  <si>
    <t xml:space="preserve">Информационная табличка </t>
  </si>
  <si>
    <t>Материалы, инструменты</t>
  </si>
  <si>
    <t>Страхование лифтов</t>
  </si>
  <si>
    <t>г. Кохма, ул. Машиностроительная, д. 18</t>
  </si>
  <si>
    <t>Налог УСН 1%</t>
  </si>
  <si>
    <t>Услуги МФЦ</t>
  </si>
  <si>
    <t>Сопровождение программы 1с Бух</t>
  </si>
  <si>
    <t>Чистка КНС  (колодца)</t>
  </si>
  <si>
    <t xml:space="preserve">фонд оплаты труда дворников,с отчислениями </t>
  </si>
  <si>
    <t>спец.одежда</t>
  </si>
  <si>
    <t>услуги по аренде эксковатора</t>
  </si>
  <si>
    <t>Материалы ( песок, соль,грунт, инвентарь,пр.)</t>
  </si>
  <si>
    <t>Тех.обслуж.лифтов</t>
  </si>
  <si>
    <t>Тех.освидетельствование лифтов</t>
  </si>
  <si>
    <t xml:space="preserve">ФОТ уборщицы с отчислениями  </t>
  </si>
  <si>
    <t xml:space="preserve">материалы </t>
  </si>
  <si>
    <t>Текущий ремонт подъезда</t>
  </si>
  <si>
    <t>Установка элементов благоустройства</t>
  </si>
  <si>
    <t>Сан.обработка помещений</t>
  </si>
  <si>
    <t>Подготовка к отопительному сезону</t>
  </si>
  <si>
    <t>Техническое диагностирование ВДГО в мкд</t>
  </si>
  <si>
    <t>Отчет по затратам  за 2018год</t>
  </si>
  <si>
    <t>Генеральный директор _____________________________ Балыков А.И.</t>
  </si>
  <si>
    <t>Председатель Правления ТСЖ "Машиностроитель"  _______________________ Павлова Н.Г.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</si>
</sst>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E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0" borderId="0" xfId="0" applyFont="1"/>
    <xf numFmtId="17" fontId="4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4" fillId="0" borderId="2" xfId="0" applyFont="1" applyBorder="1"/>
    <xf numFmtId="17" fontId="4" fillId="0" borderId="2" xfId="0" applyNumberFormat="1" applyFont="1" applyBorder="1"/>
    <xf numFmtId="4" fontId="4" fillId="0" borderId="2" xfId="0" applyNumberFormat="1" applyFont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wrapText="1"/>
    </xf>
    <xf numFmtId="4" fontId="7" fillId="2" borderId="4" xfId="0" applyNumberFormat="1" applyFont="1" applyFill="1" applyBorder="1"/>
    <xf numFmtId="4" fontId="7" fillId="2" borderId="5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4" fontId="2" fillId="0" borderId="1" xfId="0" applyNumberFormat="1" applyFont="1" applyBorder="1"/>
    <xf numFmtId="4" fontId="10" fillId="3" borderId="1" xfId="0" applyNumberFormat="1" applyFont="1" applyFill="1" applyBorder="1"/>
    <xf numFmtId="4" fontId="0" fillId="0" borderId="1" xfId="0" applyNumberFormat="1" applyBorder="1"/>
    <xf numFmtId="0" fontId="9" fillId="3" borderId="1" xfId="0" applyFont="1" applyFill="1" applyBorder="1"/>
    <xf numFmtId="4" fontId="4" fillId="3" borderId="1" xfId="0" applyNumberFormat="1" applyFont="1" applyFill="1" applyBorder="1"/>
    <xf numFmtId="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0" xfId="0" applyFont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" fontId="3" fillId="0" borderId="9" xfId="0" applyNumberFormat="1" applyFont="1" applyBorder="1"/>
    <xf numFmtId="0" fontId="11" fillId="0" borderId="0" xfId="0" applyFont="1"/>
    <xf numFmtId="4" fontId="0" fillId="4" borderId="0" xfId="0" applyNumberFormat="1" applyFill="1"/>
    <xf numFmtId="4" fontId="4" fillId="0" borderId="9" xfId="0" applyNumberFormat="1" applyFont="1" applyBorder="1"/>
    <xf numFmtId="4" fontId="0" fillId="0" borderId="9" xfId="0" applyNumberFormat="1" applyBorder="1"/>
    <xf numFmtId="0" fontId="2" fillId="2" borderId="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161"/>
  <sheetViews>
    <sheetView tabSelected="1" topLeftCell="A33" zoomScaleNormal="100" workbookViewId="0">
      <selection activeCell="D169" sqref="D169"/>
    </sheetView>
  </sheetViews>
  <sheetFormatPr defaultRowHeight="15" x14ac:dyDescent="0.25"/>
  <cols>
    <col min="2" max="2" width="35.42578125" customWidth="1"/>
    <col min="3" max="3" width="18.28515625" customWidth="1"/>
    <col min="4" max="4" width="16.85546875" customWidth="1"/>
    <col min="5" max="5" width="15.5703125" customWidth="1"/>
    <col min="6" max="6" width="14.5703125" customWidth="1"/>
    <col min="7" max="7" width="15.7109375" customWidth="1"/>
    <col min="8" max="8" width="15.85546875" hidden="1" customWidth="1"/>
    <col min="9" max="9" width="14.28515625" hidden="1" customWidth="1"/>
    <col min="10" max="10" width="17.42578125" customWidth="1"/>
    <col min="11" max="11" width="14.7109375" hidden="1" customWidth="1"/>
    <col min="12" max="13" width="13.42578125" customWidth="1"/>
    <col min="14" max="14" width="17" customWidth="1"/>
    <col min="15" max="15" width="16.5703125" customWidth="1"/>
    <col min="16" max="16" width="17.28515625" customWidth="1"/>
    <col min="17" max="17" width="14.85546875" hidden="1" customWidth="1"/>
    <col min="18" max="18" width="14.28515625" hidden="1" customWidth="1"/>
    <col min="19" max="19" width="14" customWidth="1"/>
    <col min="20" max="20" width="13.85546875" hidden="1" customWidth="1"/>
    <col min="258" max="258" width="35.42578125" customWidth="1"/>
    <col min="259" max="259" width="18.28515625" customWidth="1"/>
    <col min="260" max="260" width="16.85546875" customWidth="1"/>
    <col min="261" max="261" width="15.5703125" customWidth="1"/>
    <col min="262" max="262" width="14.5703125" customWidth="1"/>
    <col min="263" max="263" width="15.7109375" customWidth="1"/>
    <col min="264" max="264" width="15.85546875" customWidth="1"/>
    <col min="265" max="265" width="14.28515625" customWidth="1"/>
    <col min="266" max="266" width="17.42578125" customWidth="1"/>
    <col min="267" max="267" width="14.7109375" customWidth="1"/>
    <col min="268" max="269" width="13.42578125" customWidth="1"/>
    <col min="270" max="270" width="17" customWidth="1"/>
    <col min="271" max="271" width="14.85546875" customWidth="1"/>
    <col min="272" max="272" width="17.28515625" customWidth="1"/>
    <col min="273" max="273" width="14.85546875" customWidth="1"/>
    <col min="274" max="274" width="14.28515625" customWidth="1"/>
    <col min="275" max="275" width="14" customWidth="1"/>
    <col min="276" max="276" width="13.85546875" customWidth="1"/>
    <col min="514" max="514" width="35.42578125" customWidth="1"/>
    <col min="515" max="515" width="18.28515625" customWidth="1"/>
    <col min="516" max="516" width="16.85546875" customWidth="1"/>
    <col min="517" max="517" width="15.5703125" customWidth="1"/>
    <col min="518" max="518" width="14.5703125" customWidth="1"/>
    <col min="519" max="519" width="15.7109375" customWidth="1"/>
    <col min="520" max="520" width="15.85546875" customWidth="1"/>
    <col min="521" max="521" width="14.28515625" customWidth="1"/>
    <col min="522" max="522" width="17.42578125" customWidth="1"/>
    <col min="523" max="523" width="14.7109375" customWidth="1"/>
    <col min="524" max="525" width="13.42578125" customWidth="1"/>
    <col min="526" max="526" width="17" customWidth="1"/>
    <col min="527" max="527" width="14.85546875" customWidth="1"/>
    <col min="528" max="528" width="17.28515625" customWidth="1"/>
    <col min="529" max="529" width="14.85546875" customWidth="1"/>
    <col min="530" max="530" width="14.28515625" customWidth="1"/>
    <col min="531" max="531" width="14" customWidth="1"/>
    <col min="532" max="532" width="13.85546875" customWidth="1"/>
    <col min="770" max="770" width="35.42578125" customWidth="1"/>
    <col min="771" max="771" width="18.28515625" customWidth="1"/>
    <col min="772" max="772" width="16.85546875" customWidth="1"/>
    <col min="773" max="773" width="15.5703125" customWidth="1"/>
    <col min="774" max="774" width="14.5703125" customWidth="1"/>
    <col min="775" max="775" width="15.7109375" customWidth="1"/>
    <col min="776" max="776" width="15.85546875" customWidth="1"/>
    <col min="777" max="777" width="14.28515625" customWidth="1"/>
    <col min="778" max="778" width="17.42578125" customWidth="1"/>
    <col min="779" max="779" width="14.7109375" customWidth="1"/>
    <col min="780" max="781" width="13.42578125" customWidth="1"/>
    <col min="782" max="782" width="17" customWidth="1"/>
    <col min="783" max="783" width="14.85546875" customWidth="1"/>
    <col min="784" max="784" width="17.28515625" customWidth="1"/>
    <col min="785" max="785" width="14.85546875" customWidth="1"/>
    <col min="786" max="786" width="14.28515625" customWidth="1"/>
    <col min="787" max="787" width="14" customWidth="1"/>
    <col min="788" max="788" width="13.85546875" customWidth="1"/>
    <col min="1026" max="1026" width="35.42578125" customWidth="1"/>
    <col min="1027" max="1027" width="18.28515625" customWidth="1"/>
    <col min="1028" max="1028" width="16.85546875" customWidth="1"/>
    <col min="1029" max="1029" width="15.5703125" customWidth="1"/>
    <col min="1030" max="1030" width="14.5703125" customWidth="1"/>
    <col min="1031" max="1031" width="15.7109375" customWidth="1"/>
    <col min="1032" max="1032" width="15.85546875" customWidth="1"/>
    <col min="1033" max="1033" width="14.28515625" customWidth="1"/>
    <col min="1034" max="1034" width="17.42578125" customWidth="1"/>
    <col min="1035" max="1035" width="14.7109375" customWidth="1"/>
    <col min="1036" max="1037" width="13.42578125" customWidth="1"/>
    <col min="1038" max="1038" width="17" customWidth="1"/>
    <col min="1039" max="1039" width="14.85546875" customWidth="1"/>
    <col min="1040" max="1040" width="17.28515625" customWidth="1"/>
    <col min="1041" max="1041" width="14.85546875" customWidth="1"/>
    <col min="1042" max="1042" width="14.28515625" customWidth="1"/>
    <col min="1043" max="1043" width="14" customWidth="1"/>
    <col min="1044" max="1044" width="13.85546875" customWidth="1"/>
    <col min="1282" max="1282" width="35.42578125" customWidth="1"/>
    <col min="1283" max="1283" width="18.28515625" customWidth="1"/>
    <col min="1284" max="1284" width="16.85546875" customWidth="1"/>
    <col min="1285" max="1285" width="15.5703125" customWidth="1"/>
    <col min="1286" max="1286" width="14.5703125" customWidth="1"/>
    <col min="1287" max="1287" width="15.7109375" customWidth="1"/>
    <col min="1288" max="1288" width="15.85546875" customWidth="1"/>
    <col min="1289" max="1289" width="14.28515625" customWidth="1"/>
    <col min="1290" max="1290" width="17.42578125" customWidth="1"/>
    <col min="1291" max="1291" width="14.7109375" customWidth="1"/>
    <col min="1292" max="1293" width="13.42578125" customWidth="1"/>
    <col min="1294" max="1294" width="17" customWidth="1"/>
    <col min="1295" max="1295" width="14.85546875" customWidth="1"/>
    <col min="1296" max="1296" width="17.28515625" customWidth="1"/>
    <col min="1297" max="1297" width="14.85546875" customWidth="1"/>
    <col min="1298" max="1298" width="14.28515625" customWidth="1"/>
    <col min="1299" max="1299" width="14" customWidth="1"/>
    <col min="1300" max="1300" width="13.85546875" customWidth="1"/>
    <col min="1538" max="1538" width="35.42578125" customWidth="1"/>
    <col min="1539" max="1539" width="18.28515625" customWidth="1"/>
    <col min="1540" max="1540" width="16.85546875" customWidth="1"/>
    <col min="1541" max="1541" width="15.5703125" customWidth="1"/>
    <col min="1542" max="1542" width="14.5703125" customWidth="1"/>
    <col min="1543" max="1543" width="15.7109375" customWidth="1"/>
    <col min="1544" max="1544" width="15.85546875" customWidth="1"/>
    <col min="1545" max="1545" width="14.28515625" customWidth="1"/>
    <col min="1546" max="1546" width="17.42578125" customWidth="1"/>
    <col min="1547" max="1547" width="14.7109375" customWidth="1"/>
    <col min="1548" max="1549" width="13.42578125" customWidth="1"/>
    <col min="1550" max="1550" width="17" customWidth="1"/>
    <col min="1551" max="1551" width="14.85546875" customWidth="1"/>
    <col min="1552" max="1552" width="17.28515625" customWidth="1"/>
    <col min="1553" max="1553" width="14.85546875" customWidth="1"/>
    <col min="1554" max="1554" width="14.28515625" customWidth="1"/>
    <col min="1555" max="1555" width="14" customWidth="1"/>
    <col min="1556" max="1556" width="13.85546875" customWidth="1"/>
    <col min="1794" max="1794" width="35.42578125" customWidth="1"/>
    <col min="1795" max="1795" width="18.28515625" customWidth="1"/>
    <col min="1796" max="1796" width="16.85546875" customWidth="1"/>
    <col min="1797" max="1797" width="15.5703125" customWidth="1"/>
    <col min="1798" max="1798" width="14.5703125" customWidth="1"/>
    <col min="1799" max="1799" width="15.7109375" customWidth="1"/>
    <col min="1800" max="1800" width="15.85546875" customWidth="1"/>
    <col min="1801" max="1801" width="14.28515625" customWidth="1"/>
    <col min="1802" max="1802" width="17.42578125" customWidth="1"/>
    <col min="1803" max="1803" width="14.7109375" customWidth="1"/>
    <col min="1804" max="1805" width="13.42578125" customWidth="1"/>
    <col min="1806" max="1806" width="17" customWidth="1"/>
    <col min="1807" max="1807" width="14.85546875" customWidth="1"/>
    <col min="1808" max="1808" width="17.28515625" customWidth="1"/>
    <col min="1809" max="1809" width="14.85546875" customWidth="1"/>
    <col min="1810" max="1810" width="14.28515625" customWidth="1"/>
    <col min="1811" max="1811" width="14" customWidth="1"/>
    <col min="1812" max="1812" width="13.85546875" customWidth="1"/>
    <col min="2050" max="2050" width="35.42578125" customWidth="1"/>
    <col min="2051" max="2051" width="18.28515625" customWidth="1"/>
    <col min="2052" max="2052" width="16.85546875" customWidth="1"/>
    <col min="2053" max="2053" width="15.5703125" customWidth="1"/>
    <col min="2054" max="2054" width="14.5703125" customWidth="1"/>
    <col min="2055" max="2055" width="15.7109375" customWidth="1"/>
    <col min="2056" max="2056" width="15.85546875" customWidth="1"/>
    <col min="2057" max="2057" width="14.28515625" customWidth="1"/>
    <col min="2058" max="2058" width="17.42578125" customWidth="1"/>
    <col min="2059" max="2059" width="14.7109375" customWidth="1"/>
    <col min="2060" max="2061" width="13.42578125" customWidth="1"/>
    <col min="2062" max="2062" width="17" customWidth="1"/>
    <col min="2063" max="2063" width="14.85546875" customWidth="1"/>
    <col min="2064" max="2064" width="17.28515625" customWidth="1"/>
    <col min="2065" max="2065" width="14.85546875" customWidth="1"/>
    <col min="2066" max="2066" width="14.28515625" customWidth="1"/>
    <col min="2067" max="2067" width="14" customWidth="1"/>
    <col min="2068" max="2068" width="13.85546875" customWidth="1"/>
    <col min="2306" max="2306" width="35.42578125" customWidth="1"/>
    <col min="2307" max="2307" width="18.28515625" customWidth="1"/>
    <col min="2308" max="2308" width="16.85546875" customWidth="1"/>
    <col min="2309" max="2309" width="15.5703125" customWidth="1"/>
    <col min="2310" max="2310" width="14.5703125" customWidth="1"/>
    <col min="2311" max="2311" width="15.7109375" customWidth="1"/>
    <col min="2312" max="2312" width="15.85546875" customWidth="1"/>
    <col min="2313" max="2313" width="14.28515625" customWidth="1"/>
    <col min="2314" max="2314" width="17.42578125" customWidth="1"/>
    <col min="2315" max="2315" width="14.7109375" customWidth="1"/>
    <col min="2316" max="2317" width="13.42578125" customWidth="1"/>
    <col min="2318" max="2318" width="17" customWidth="1"/>
    <col min="2319" max="2319" width="14.85546875" customWidth="1"/>
    <col min="2320" max="2320" width="17.28515625" customWidth="1"/>
    <col min="2321" max="2321" width="14.85546875" customWidth="1"/>
    <col min="2322" max="2322" width="14.28515625" customWidth="1"/>
    <col min="2323" max="2323" width="14" customWidth="1"/>
    <col min="2324" max="2324" width="13.85546875" customWidth="1"/>
    <col min="2562" max="2562" width="35.42578125" customWidth="1"/>
    <col min="2563" max="2563" width="18.28515625" customWidth="1"/>
    <col min="2564" max="2564" width="16.85546875" customWidth="1"/>
    <col min="2565" max="2565" width="15.5703125" customWidth="1"/>
    <col min="2566" max="2566" width="14.5703125" customWidth="1"/>
    <col min="2567" max="2567" width="15.7109375" customWidth="1"/>
    <col min="2568" max="2568" width="15.85546875" customWidth="1"/>
    <col min="2569" max="2569" width="14.28515625" customWidth="1"/>
    <col min="2570" max="2570" width="17.42578125" customWidth="1"/>
    <col min="2571" max="2571" width="14.7109375" customWidth="1"/>
    <col min="2572" max="2573" width="13.42578125" customWidth="1"/>
    <col min="2574" max="2574" width="17" customWidth="1"/>
    <col min="2575" max="2575" width="14.85546875" customWidth="1"/>
    <col min="2576" max="2576" width="17.28515625" customWidth="1"/>
    <col min="2577" max="2577" width="14.85546875" customWidth="1"/>
    <col min="2578" max="2578" width="14.28515625" customWidth="1"/>
    <col min="2579" max="2579" width="14" customWidth="1"/>
    <col min="2580" max="2580" width="13.85546875" customWidth="1"/>
    <col min="2818" max="2818" width="35.42578125" customWidth="1"/>
    <col min="2819" max="2819" width="18.28515625" customWidth="1"/>
    <col min="2820" max="2820" width="16.85546875" customWidth="1"/>
    <col min="2821" max="2821" width="15.5703125" customWidth="1"/>
    <col min="2822" max="2822" width="14.5703125" customWidth="1"/>
    <col min="2823" max="2823" width="15.7109375" customWidth="1"/>
    <col min="2824" max="2824" width="15.85546875" customWidth="1"/>
    <col min="2825" max="2825" width="14.28515625" customWidth="1"/>
    <col min="2826" max="2826" width="17.42578125" customWidth="1"/>
    <col min="2827" max="2827" width="14.7109375" customWidth="1"/>
    <col min="2828" max="2829" width="13.42578125" customWidth="1"/>
    <col min="2830" max="2830" width="17" customWidth="1"/>
    <col min="2831" max="2831" width="14.85546875" customWidth="1"/>
    <col min="2832" max="2832" width="17.28515625" customWidth="1"/>
    <col min="2833" max="2833" width="14.85546875" customWidth="1"/>
    <col min="2834" max="2834" width="14.28515625" customWidth="1"/>
    <col min="2835" max="2835" width="14" customWidth="1"/>
    <col min="2836" max="2836" width="13.85546875" customWidth="1"/>
    <col min="3074" max="3074" width="35.42578125" customWidth="1"/>
    <col min="3075" max="3075" width="18.28515625" customWidth="1"/>
    <col min="3076" max="3076" width="16.85546875" customWidth="1"/>
    <col min="3077" max="3077" width="15.5703125" customWidth="1"/>
    <col min="3078" max="3078" width="14.5703125" customWidth="1"/>
    <col min="3079" max="3079" width="15.7109375" customWidth="1"/>
    <col min="3080" max="3080" width="15.85546875" customWidth="1"/>
    <col min="3081" max="3081" width="14.28515625" customWidth="1"/>
    <col min="3082" max="3082" width="17.42578125" customWidth="1"/>
    <col min="3083" max="3083" width="14.7109375" customWidth="1"/>
    <col min="3084" max="3085" width="13.42578125" customWidth="1"/>
    <col min="3086" max="3086" width="17" customWidth="1"/>
    <col min="3087" max="3087" width="14.85546875" customWidth="1"/>
    <col min="3088" max="3088" width="17.28515625" customWidth="1"/>
    <col min="3089" max="3089" width="14.85546875" customWidth="1"/>
    <col min="3090" max="3090" width="14.28515625" customWidth="1"/>
    <col min="3091" max="3091" width="14" customWidth="1"/>
    <col min="3092" max="3092" width="13.85546875" customWidth="1"/>
    <col min="3330" max="3330" width="35.42578125" customWidth="1"/>
    <col min="3331" max="3331" width="18.28515625" customWidth="1"/>
    <col min="3332" max="3332" width="16.85546875" customWidth="1"/>
    <col min="3333" max="3333" width="15.5703125" customWidth="1"/>
    <col min="3334" max="3334" width="14.5703125" customWidth="1"/>
    <col min="3335" max="3335" width="15.7109375" customWidth="1"/>
    <col min="3336" max="3336" width="15.85546875" customWidth="1"/>
    <col min="3337" max="3337" width="14.28515625" customWidth="1"/>
    <col min="3338" max="3338" width="17.42578125" customWidth="1"/>
    <col min="3339" max="3339" width="14.7109375" customWidth="1"/>
    <col min="3340" max="3341" width="13.42578125" customWidth="1"/>
    <col min="3342" max="3342" width="17" customWidth="1"/>
    <col min="3343" max="3343" width="14.85546875" customWidth="1"/>
    <col min="3344" max="3344" width="17.28515625" customWidth="1"/>
    <col min="3345" max="3345" width="14.85546875" customWidth="1"/>
    <col min="3346" max="3346" width="14.28515625" customWidth="1"/>
    <col min="3347" max="3347" width="14" customWidth="1"/>
    <col min="3348" max="3348" width="13.85546875" customWidth="1"/>
    <col min="3586" max="3586" width="35.42578125" customWidth="1"/>
    <col min="3587" max="3587" width="18.28515625" customWidth="1"/>
    <col min="3588" max="3588" width="16.85546875" customWidth="1"/>
    <col min="3589" max="3589" width="15.5703125" customWidth="1"/>
    <col min="3590" max="3590" width="14.5703125" customWidth="1"/>
    <col min="3591" max="3591" width="15.7109375" customWidth="1"/>
    <col min="3592" max="3592" width="15.85546875" customWidth="1"/>
    <col min="3593" max="3593" width="14.28515625" customWidth="1"/>
    <col min="3594" max="3594" width="17.42578125" customWidth="1"/>
    <col min="3595" max="3595" width="14.7109375" customWidth="1"/>
    <col min="3596" max="3597" width="13.42578125" customWidth="1"/>
    <col min="3598" max="3598" width="17" customWidth="1"/>
    <col min="3599" max="3599" width="14.85546875" customWidth="1"/>
    <col min="3600" max="3600" width="17.28515625" customWidth="1"/>
    <col min="3601" max="3601" width="14.85546875" customWidth="1"/>
    <col min="3602" max="3602" width="14.28515625" customWidth="1"/>
    <col min="3603" max="3603" width="14" customWidth="1"/>
    <col min="3604" max="3604" width="13.85546875" customWidth="1"/>
    <col min="3842" max="3842" width="35.42578125" customWidth="1"/>
    <col min="3843" max="3843" width="18.28515625" customWidth="1"/>
    <col min="3844" max="3844" width="16.85546875" customWidth="1"/>
    <col min="3845" max="3845" width="15.5703125" customWidth="1"/>
    <col min="3846" max="3846" width="14.5703125" customWidth="1"/>
    <col min="3847" max="3847" width="15.7109375" customWidth="1"/>
    <col min="3848" max="3848" width="15.85546875" customWidth="1"/>
    <col min="3849" max="3849" width="14.28515625" customWidth="1"/>
    <col min="3850" max="3850" width="17.42578125" customWidth="1"/>
    <col min="3851" max="3851" width="14.7109375" customWidth="1"/>
    <col min="3852" max="3853" width="13.42578125" customWidth="1"/>
    <col min="3854" max="3854" width="17" customWidth="1"/>
    <col min="3855" max="3855" width="14.85546875" customWidth="1"/>
    <col min="3856" max="3856" width="17.28515625" customWidth="1"/>
    <col min="3857" max="3857" width="14.85546875" customWidth="1"/>
    <col min="3858" max="3858" width="14.28515625" customWidth="1"/>
    <col min="3859" max="3859" width="14" customWidth="1"/>
    <col min="3860" max="3860" width="13.85546875" customWidth="1"/>
    <col min="4098" max="4098" width="35.42578125" customWidth="1"/>
    <col min="4099" max="4099" width="18.28515625" customWidth="1"/>
    <col min="4100" max="4100" width="16.85546875" customWidth="1"/>
    <col min="4101" max="4101" width="15.5703125" customWidth="1"/>
    <col min="4102" max="4102" width="14.5703125" customWidth="1"/>
    <col min="4103" max="4103" width="15.7109375" customWidth="1"/>
    <col min="4104" max="4104" width="15.85546875" customWidth="1"/>
    <col min="4105" max="4105" width="14.28515625" customWidth="1"/>
    <col min="4106" max="4106" width="17.42578125" customWidth="1"/>
    <col min="4107" max="4107" width="14.7109375" customWidth="1"/>
    <col min="4108" max="4109" width="13.42578125" customWidth="1"/>
    <col min="4110" max="4110" width="17" customWidth="1"/>
    <col min="4111" max="4111" width="14.85546875" customWidth="1"/>
    <col min="4112" max="4112" width="17.28515625" customWidth="1"/>
    <col min="4113" max="4113" width="14.85546875" customWidth="1"/>
    <col min="4114" max="4114" width="14.28515625" customWidth="1"/>
    <col min="4115" max="4115" width="14" customWidth="1"/>
    <col min="4116" max="4116" width="13.85546875" customWidth="1"/>
    <col min="4354" max="4354" width="35.42578125" customWidth="1"/>
    <col min="4355" max="4355" width="18.28515625" customWidth="1"/>
    <col min="4356" max="4356" width="16.85546875" customWidth="1"/>
    <col min="4357" max="4357" width="15.5703125" customWidth="1"/>
    <col min="4358" max="4358" width="14.5703125" customWidth="1"/>
    <col min="4359" max="4359" width="15.7109375" customWidth="1"/>
    <col min="4360" max="4360" width="15.85546875" customWidth="1"/>
    <col min="4361" max="4361" width="14.28515625" customWidth="1"/>
    <col min="4362" max="4362" width="17.42578125" customWidth="1"/>
    <col min="4363" max="4363" width="14.7109375" customWidth="1"/>
    <col min="4364" max="4365" width="13.42578125" customWidth="1"/>
    <col min="4366" max="4366" width="17" customWidth="1"/>
    <col min="4367" max="4367" width="14.85546875" customWidth="1"/>
    <col min="4368" max="4368" width="17.28515625" customWidth="1"/>
    <col min="4369" max="4369" width="14.85546875" customWidth="1"/>
    <col min="4370" max="4370" width="14.28515625" customWidth="1"/>
    <col min="4371" max="4371" width="14" customWidth="1"/>
    <col min="4372" max="4372" width="13.85546875" customWidth="1"/>
    <col min="4610" max="4610" width="35.42578125" customWidth="1"/>
    <col min="4611" max="4611" width="18.28515625" customWidth="1"/>
    <col min="4612" max="4612" width="16.85546875" customWidth="1"/>
    <col min="4613" max="4613" width="15.5703125" customWidth="1"/>
    <col min="4614" max="4614" width="14.5703125" customWidth="1"/>
    <col min="4615" max="4615" width="15.7109375" customWidth="1"/>
    <col min="4616" max="4616" width="15.85546875" customWidth="1"/>
    <col min="4617" max="4617" width="14.28515625" customWidth="1"/>
    <col min="4618" max="4618" width="17.42578125" customWidth="1"/>
    <col min="4619" max="4619" width="14.7109375" customWidth="1"/>
    <col min="4620" max="4621" width="13.42578125" customWidth="1"/>
    <col min="4622" max="4622" width="17" customWidth="1"/>
    <col min="4623" max="4623" width="14.85546875" customWidth="1"/>
    <col min="4624" max="4624" width="17.28515625" customWidth="1"/>
    <col min="4625" max="4625" width="14.85546875" customWidth="1"/>
    <col min="4626" max="4626" width="14.28515625" customWidth="1"/>
    <col min="4627" max="4627" width="14" customWidth="1"/>
    <col min="4628" max="4628" width="13.85546875" customWidth="1"/>
    <col min="4866" max="4866" width="35.42578125" customWidth="1"/>
    <col min="4867" max="4867" width="18.28515625" customWidth="1"/>
    <col min="4868" max="4868" width="16.85546875" customWidth="1"/>
    <col min="4869" max="4869" width="15.5703125" customWidth="1"/>
    <col min="4870" max="4870" width="14.5703125" customWidth="1"/>
    <col min="4871" max="4871" width="15.7109375" customWidth="1"/>
    <col min="4872" max="4872" width="15.85546875" customWidth="1"/>
    <col min="4873" max="4873" width="14.28515625" customWidth="1"/>
    <col min="4874" max="4874" width="17.42578125" customWidth="1"/>
    <col min="4875" max="4875" width="14.7109375" customWidth="1"/>
    <col min="4876" max="4877" width="13.42578125" customWidth="1"/>
    <col min="4878" max="4878" width="17" customWidth="1"/>
    <col min="4879" max="4879" width="14.85546875" customWidth="1"/>
    <col min="4880" max="4880" width="17.28515625" customWidth="1"/>
    <col min="4881" max="4881" width="14.85546875" customWidth="1"/>
    <col min="4882" max="4882" width="14.28515625" customWidth="1"/>
    <col min="4883" max="4883" width="14" customWidth="1"/>
    <col min="4884" max="4884" width="13.85546875" customWidth="1"/>
    <col min="5122" max="5122" width="35.42578125" customWidth="1"/>
    <col min="5123" max="5123" width="18.28515625" customWidth="1"/>
    <col min="5124" max="5124" width="16.85546875" customWidth="1"/>
    <col min="5125" max="5125" width="15.5703125" customWidth="1"/>
    <col min="5126" max="5126" width="14.5703125" customWidth="1"/>
    <col min="5127" max="5127" width="15.7109375" customWidth="1"/>
    <col min="5128" max="5128" width="15.85546875" customWidth="1"/>
    <col min="5129" max="5129" width="14.28515625" customWidth="1"/>
    <col min="5130" max="5130" width="17.42578125" customWidth="1"/>
    <col min="5131" max="5131" width="14.7109375" customWidth="1"/>
    <col min="5132" max="5133" width="13.42578125" customWidth="1"/>
    <col min="5134" max="5134" width="17" customWidth="1"/>
    <col min="5135" max="5135" width="14.85546875" customWidth="1"/>
    <col min="5136" max="5136" width="17.28515625" customWidth="1"/>
    <col min="5137" max="5137" width="14.85546875" customWidth="1"/>
    <col min="5138" max="5138" width="14.28515625" customWidth="1"/>
    <col min="5139" max="5139" width="14" customWidth="1"/>
    <col min="5140" max="5140" width="13.85546875" customWidth="1"/>
    <col min="5378" max="5378" width="35.42578125" customWidth="1"/>
    <col min="5379" max="5379" width="18.28515625" customWidth="1"/>
    <col min="5380" max="5380" width="16.85546875" customWidth="1"/>
    <col min="5381" max="5381" width="15.5703125" customWidth="1"/>
    <col min="5382" max="5382" width="14.5703125" customWidth="1"/>
    <col min="5383" max="5383" width="15.7109375" customWidth="1"/>
    <col min="5384" max="5384" width="15.85546875" customWidth="1"/>
    <col min="5385" max="5385" width="14.28515625" customWidth="1"/>
    <col min="5386" max="5386" width="17.42578125" customWidth="1"/>
    <col min="5387" max="5387" width="14.7109375" customWidth="1"/>
    <col min="5388" max="5389" width="13.42578125" customWidth="1"/>
    <col min="5390" max="5390" width="17" customWidth="1"/>
    <col min="5391" max="5391" width="14.85546875" customWidth="1"/>
    <col min="5392" max="5392" width="17.28515625" customWidth="1"/>
    <col min="5393" max="5393" width="14.85546875" customWidth="1"/>
    <col min="5394" max="5394" width="14.28515625" customWidth="1"/>
    <col min="5395" max="5395" width="14" customWidth="1"/>
    <col min="5396" max="5396" width="13.85546875" customWidth="1"/>
    <col min="5634" max="5634" width="35.42578125" customWidth="1"/>
    <col min="5635" max="5635" width="18.28515625" customWidth="1"/>
    <col min="5636" max="5636" width="16.85546875" customWidth="1"/>
    <col min="5637" max="5637" width="15.5703125" customWidth="1"/>
    <col min="5638" max="5638" width="14.5703125" customWidth="1"/>
    <col min="5639" max="5639" width="15.7109375" customWidth="1"/>
    <col min="5640" max="5640" width="15.85546875" customWidth="1"/>
    <col min="5641" max="5641" width="14.28515625" customWidth="1"/>
    <col min="5642" max="5642" width="17.42578125" customWidth="1"/>
    <col min="5643" max="5643" width="14.7109375" customWidth="1"/>
    <col min="5644" max="5645" width="13.42578125" customWidth="1"/>
    <col min="5646" max="5646" width="17" customWidth="1"/>
    <col min="5647" max="5647" width="14.85546875" customWidth="1"/>
    <col min="5648" max="5648" width="17.28515625" customWidth="1"/>
    <col min="5649" max="5649" width="14.85546875" customWidth="1"/>
    <col min="5650" max="5650" width="14.28515625" customWidth="1"/>
    <col min="5651" max="5651" width="14" customWidth="1"/>
    <col min="5652" max="5652" width="13.85546875" customWidth="1"/>
    <col min="5890" max="5890" width="35.42578125" customWidth="1"/>
    <col min="5891" max="5891" width="18.28515625" customWidth="1"/>
    <col min="5892" max="5892" width="16.85546875" customWidth="1"/>
    <col min="5893" max="5893" width="15.5703125" customWidth="1"/>
    <col min="5894" max="5894" width="14.5703125" customWidth="1"/>
    <col min="5895" max="5895" width="15.7109375" customWidth="1"/>
    <col min="5896" max="5896" width="15.85546875" customWidth="1"/>
    <col min="5897" max="5897" width="14.28515625" customWidth="1"/>
    <col min="5898" max="5898" width="17.42578125" customWidth="1"/>
    <col min="5899" max="5899" width="14.7109375" customWidth="1"/>
    <col min="5900" max="5901" width="13.42578125" customWidth="1"/>
    <col min="5902" max="5902" width="17" customWidth="1"/>
    <col min="5903" max="5903" width="14.85546875" customWidth="1"/>
    <col min="5904" max="5904" width="17.28515625" customWidth="1"/>
    <col min="5905" max="5905" width="14.85546875" customWidth="1"/>
    <col min="5906" max="5906" width="14.28515625" customWidth="1"/>
    <col min="5907" max="5907" width="14" customWidth="1"/>
    <col min="5908" max="5908" width="13.85546875" customWidth="1"/>
    <col min="6146" max="6146" width="35.42578125" customWidth="1"/>
    <col min="6147" max="6147" width="18.28515625" customWidth="1"/>
    <col min="6148" max="6148" width="16.85546875" customWidth="1"/>
    <col min="6149" max="6149" width="15.5703125" customWidth="1"/>
    <col min="6150" max="6150" width="14.5703125" customWidth="1"/>
    <col min="6151" max="6151" width="15.7109375" customWidth="1"/>
    <col min="6152" max="6152" width="15.85546875" customWidth="1"/>
    <col min="6153" max="6153" width="14.28515625" customWidth="1"/>
    <col min="6154" max="6154" width="17.42578125" customWidth="1"/>
    <col min="6155" max="6155" width="14.7109375" customWidth="1"/>
    <col min="6156" max="6157" width="13.42578125" customWidth="1"/>
    <col min="6158" max="6158" width="17" customWidth="1"/>
    <col min="6159" max="6159" width="14.85546875" customWidth="1"/>
    <col min="6160" max="6160" width="17.28515625" customWidth="1"/>
    <col min="6161" max="6161" width="14.85546875" customWidth="1"/>
    <col min="6162" max="6162" width="14.28515625" customWidth="1"/>
    <col min="6163" max="6163" width="14" customWidth="1"/>
    <col min="6164" max="6164" width="13.85546875" customWidth="1"/>
    <col min="6402" max="6402" width="35.42578125" customWidth="1"/>
    <col min="6403" max="6403" width="18.28515625" customWidth="1"/>
    <col min="6404" max="6404" width="16.85546875" customWidth="1"/>
    <col min="6405" max="6405" width="15.5703125" customWidth="1"/>
    <col min="6406" max="6406" width="14.5703125" customWidth="1"/>
    <col min="6407" max="6407" width="15.7109375" customWidth="1"/>
    <col min="6408" max="6408" width="15.85546875" customWidth="1"/>
    <col min="6409" max="6409" width="14.28515625" customWidth="1"/>
    <col min="6410" max="6410" width="17.42578125" customWidth="1"/>
    <col min="6411" max="6411" width="14.7109375" customWidth="1"/>
    <col min="6412" max="6413" width="13.42578125" customWidth="1"/>
    <col min="6414" max="6414" width="17" customWidth="1"/>
    <col min="6415" max="6415" width="14.85546875" customWidth="1"/>
    <col min="6416" max="6416" width="17.28515625" customWidth="1"/>
    <col min="6417" max="6417" width="14.85546875" customWidth="1"/>
    <col min="6418" max="6418" width="14.28515625" customWidth="1"/>
    <col min="6419" max="6419" width="14" customWidth="1"/>
    <col min="6420" max="6420" width="13.85546875" customWidth="1"/>
    <col min="6658" max="6658" width="35.42578125" customWidth="1"/>
    <col min="6659" max="6659" width="18.28515625" customWidth="1"/>
    <col min="6660" max="6660" width="16.85546875" customWidth="1"/>
    <col min="6661" max="6661" width="15.5703125" customWidth="1"/>
    <col min="6662" max="6662" width="14.5703125" customWidth="1"/>
    <col min="6663" max="6663" width="15.7109375" customWidth="1"/>
    <col min="6664" max="6664" width="15.85546875" customWidth="1"/>
    <col min="6665" max="6665" width="14.28515625" customWidth="1"/>
    <col min="6666" max="6666" width="17.42578125" customWidth="1"/>
    <col min="6667" max="6667" width="14.7109375" customWidth="1"/>
    <col min="6668" max="6669" width="13.42578125" customWidth="1"/>
    <col min="6670" max="6670" width="17" customWidth="1"/>
    <col min="6671" max="6671" width="14.85546875" customWidth="1"/>
    <col min="6672" max="6672" width="17.28515625" customWidth="1"/>
    <col min="6673" max="6673" width="14.85546875" customWidth="1"/>
    <col min="6674" max="6674" width="14.28515625" customWidth="1"/>
    <col min="6675" max="6675" width="14" customWidth="1"/>
    <col min="6676" max="6676" width="13.85546875" customWidth="1"/>
    <col min="6914" max="6914" width="35.42578125" customWidth="1"/>
    <col min="6915" max="6915" width="18.28515625" customWidth="1"/>
    <col min="6916" max="6916" width="16.85546875" customWidth="1"/>
    <col min="6917" max="6917" width="15.5703125" customWidth="1"/>
    <col min="6918" max="6918" width="14.5703125" customWidth="1"/>
    <col min="6919" max="6919" width="15.7109375" customWidth="1"/>
    <col min="6920" max="6920" width="15.85546875" customWidth="1"/>
    <col min="6921" max="6921" width="14.28515625" customWidth="1"/>
    <col min="6922" max="6922" width="17.42578125" customWidth="1"/>
    <col min="6923" max="6923" width="14.7109375" customWidth="1"/>
    <col min="6924" max="6925" width="13.42578125" customWidth="1"/>
    <col min="6926" max="6926" width="17" customWidth="1"/>
    <col min="6927" max="6927" width="14.85546875" customWidth="1"/>
    <col min="6928" max="6928" width="17.28515625" customWidth="1"/>
    <col min="6929" max="6929" width="14.85546875" customWidth="1"/>
    <col min="6930" max="6930" width="14.28515625" customWidth="1"/>
    <col min="6931" max="6931" width="14" customWidth="1"/>
    <col min="6932" max="6932" width="13.85546875" customWidth="1"/>
    <col min="7170" max="7170" width="35.42578125" customWidth="1"/>
    <col min="7171" max="7171" width="18.28515625" customWidth="1"/>
    <col min="7172" max="7172" width="16.85546875" customWidth="1"/>
    <col min="7173" max="7173" width="15.5703125" customWidth="1"/>
    <col min="7174" max="7174" width="14.5703125" customWidth="1"/>
    <col min="7175" max="7175" width="15.7109375" customWidth="1"/>
    <col min="7176" max="7176" width="15.85546875" customWidth="1"/>
    <col min="7177" max="7177" width="14.28515625" customWidth="1"/>
    <col min="7178" max="7178" width="17.42578125" customWidth="1"/>
    <col min="7179" max="7179" width="14.7109375" customWidth="1"/>
    <col min="7180" max="7181" width="13.42578125" customWidth="1"/>
    <col min="7182" max="7182" width="17" customWidth="1"/>
    <col min="7183" max="7183" width="14.85546875" customWidth="1"/>
    <col min="7184" max="7184" width="17.28515625" customWidth="1"/>
    <col min="7185" max="7185" width="14.85546875" customWidth="1"/>
    <col min="7186" max="7186" width="14.28515625" customWidth="1"/>
    <col min="7187" max="7187" width="14" customWidth="1"/>
    <col min="7188" max="7188" width="13.85546875" customWidth="1"/>
    <col min="7426" max="7426" width="35.42578125" customWidth="1"/>
    <col min="7427" max="7427" width="18.28515625" customWidth="1"/>
    <col min="7428" max="7428" width="16.85546875" customWidth="1"/>
    <col min="7429" max="7429" width="15.5703125" customWidth="1"/>
    <col min="7430" max="7430" width="14.5703125" customWidth="1"/>
    <col min="7431" max="7431" width="15.7109375" customWidth="1"/>
    <col min="7432" max="7432" width="15.85546875" customWidth="1"/>
    <col min="7433" max="7433" width="14.28515625" customWidth="1"/>
    <col min="7434" max="7434" width="17.42578125" customWidth="1"/>
    <col min="7435" max="7435" width="14.7109375" customWidth="1"/>
    <col min="7436" max="7437" width="13.42578125" customWidth="1"/>
    <col min="7438" max="7438" width="17" customWidth="1"/>
    <col min="7439" max="7439" width="14.85546875" customWidth="1"/>
    <col min="7440" max="7440" width="17.28515625" customWidth="1"/>
    <col min="7441" max="7441" width="14.85546875" customWidth="1"/>
    <col min="7442" max="7442" width="14.28515625" customWidth="1"/>
    <col min="7443" max="7443" width="14" customWidth="1"/>
    <col min="7444" max="7444" width="13.85546875" customWidth="1"/>
    <col min="7682" max="7682" width="35.42578125" customWidth="1"/>
    <col min="7683" max="7683" width="18.28515625" customWidth="1"/>
    <col min="7684" max="7684" width="16.85546875" customWidth="1"/>
    <col min="7685" max="7685" width="15.5703125" customWidth="1"/>
    <col min="7686" max="7686" width="14.5703125" customWidth="1"/>
    <col min="7687" max="7687" width="15.7109375" customWidth="1"/>
    <col min="7688" max="7688" width="15.85546875" customWidth="1"/>
    <col min="7689" max="7689" width="14.28515625" customWidth="1"/>
    <col min="7690" max="7690" width="17.42578125" customWidth="1"/>
    <col min="7691" max="7691" width="14.7109375" customWidth="1"/>
    <col min="7692" max="7693" width="13.42578125" customWidth="1"/>
    <col min="7694" max="7694" width="17" customWidth="1"/>
    <col min="7695" max="7695" width="14.85546875" customWidth="1"/>
    <col min="7696" max="7696" width="17.28515625" customWidth="1"/>
    <col min="7697" max="7697" width="14.85546875" customWidth="1"/>
    <col min="7698" max="7698" width="14.28515625" customWidth="1"/>
    <col min="7699" max="7699" width="14" customWidth="1"/>
    <col min="7700" max="7700" width="13.85546875" customWidth="1"/>
    <col min="7938" max="7938" width="35.42578125" customWidth="1"/>
    <col min="7939" max="7939" width="18.28515625" customWidth="1"/>
    <col min="7940" max="7940" width="16.85546875" customWidth="1"/>
    <col min="7941" max="7941" width="15.5703125" customWidth="1"/>
    <col min="7942" max="7942" width="14.5703125" customWidth="1"/>
    <col min="7943" max="7943" width="15.7109375" customWidth="1"/>
    <col min="7944" max="7944" width="15.85546875" customWidth="1"/>
    <col min="7945" max="7945" width="14.28515625" customWidth="1"/>
    <col min="7946" max="7946" width="17.42578125" customWidth="1"/>
    <col min="7947" max="7947" width="14.7109375" customWidth="1"/>
    <col min="7948" max="7949" width="13.42578125" customWidth="1"/>
    <col min="7950" max="7950" width="17" customWidth="1"/>
    <col min="7951" max="7951" width="14.85546875" customWidth="1"/>
    <col min="7952" max="7952" width="17.28515625" customWidth="1"/>
    <col min="7953" max="7953" width="14.85546875" customWidth="1"/>
    <col min="7954" max="7954" width="14.28515625" customWidth="1"/>
    <col min="7955" max="7955" width="14" customWidth="1"/>
    <col min="7956" max="7956" width="13.85546875" customWidth="1"/>
    <col min="8194" max="8194" width="35.42578125" customWidth="1"/>
    <col min="8195" max="8195" width="18.28515625" customWidth="1"/>
    <col min="8196" max="8196" width="16.85546875" customWidth="1"/>
    <col min="8197" max="8197" width="15.5703125" customWidth="1"/>
    <col min="8198" max="8198" width="14.5703125" customWidth="1"/>
    <col min="8199" max="8199" width="15.7109375" customWidth="1"/>
    <col min="8200" max="8200" width="15.85546875" customWidth="1"/>
    <col min="8201" max="8201" width="14.28515625" customWidth="1"/>
    <col min="8202" max="8202" width="17.42578125" customWidth="1"/>
    <col min="8203" max="8203" width="14.7109375" customWidth="1"/>
    <col min="8204" max="8205" width="13.42578125" customWidth="1"/>
    <col min="8206" max="8206" width="17" customWidth="1"/>
    <col min="8207" max="8207" width="14.85546875" customWidth="1"/>
    <col min="8208" max="8208" width="17.28515625" customWidth="1"/>
    <col min="8209" max="8209" width="14.85546875" customWidth="1"/>
    <col min="8210" max="8210" width="14.28515625" customWidth="1"/>
    <col min="8211" max="8211" width="14" customWidth="1"/>
    <col min="8212" max="8212" width="13.85546875" customWidth="1"/>
    <col min="8450" max="8450" width="35.42578125" customWidth="1"/>
    <col min="8451" max="8451" width="18.28515625" customWidth="1"/>
    <col min="8452" max="8452" width="16.85546875" customWidth="1"/>
    <col min="8453" max="8453" width="15.5703125" customWidth="1"/>
    <col min="8454" max="8454" width="14.5703125" customWidth="1"/>
    <col min="8455" max="8455" width="15.7109375" customWidth="1"/>
    <col min="8456" max="8456" width="15.85546875" customWidth="1"/>
    <col min="8457" max="8457" width="14.28515625" customWidth="1"/>
    <col min="8458" max="8458" width="17.42578125" customWidth="1"/>
    <col min="8459" max="8459" width="14.7109375" customWidth="1"/>
    <col min="8460" max="8461" width="13.42578125" customWidth="1"/>
    <col min="8462" max="8462" width="17" customWidth="1"/>
    <col min="8463" max="8463" width="14.85546875" customWidth="1"/>
    <col min="8464" max="8464" width="17.28515625" customWidth="1"/>
    <col min="8465" max="8465" width="14.85546875" customWidth="1"/>
    <col min="8466" max="8466" width="14.28515625" customWidth="1"/>
    <col min="8467" max="8467" width="14" customWidth="1"/>
    <col min="8468" max="8468" width="13.85546875" customWidth="1"/>
    <col min="8706" max="8706" width="35.42578125" customWidth="1"/>
    <col min="8707" max="8707" width="18.28515625" customWidth="1"/>
    <col min="8708" max="8708" width="16.85546875" customWidth="1"/>
    <col min="8709" max="8709" width="15.5703125" customWidth="1"/>
    <col min="8710" max="8710" width="14.5703125" customWidth="1"/>
    <col min="8711" max="8711" width="15.7109375" customWidth="1"/>
    <col min="8712" max="8712" width="15.85546875" customWidth="1"/>
    <col min="8713" max="8713" width="14.28515625" customWidth="1"/>
    <col min="8714" max="8714" width="17.42578125" customWidth="1"/>
    <col min="8715" max="8715" width="14.7109375" customWidth="1"/>
    <col min="8716" max="8717" width="13.42578125" customWidth="1"/>
    <col min="8718" max="8718" width="17" customWidth="1"/>
    <col min="8719" max="8719" width="14.85546875" customWidth="1"/>
    <col min="8720" max="8720" width="17.28515625" customWidth="1"/>
    <col min="8721" max="8721" width="14.85546875" customWidth="1"/>
    <col min="8722" max="8722" width="14.28515625" customWidth="1"/>
    <col min="8723" max="8723" width="14" customWidth="1"/>
    <col min="8724" max="8724" width="13.85546875" customWidth="1"/>
    <col min="8962" max="8962" width="35.42578125" customWidth="1"/>
    <col min="8963" max="8963" width="18.28515625" customWidth="1"/>
    <col min="8964" max="8964" width="16.85546875" customWidth="1"/>
    <col min="8965" max="8965" width="15.5703125" customWidth="1"/>
    <col min="8966" max="8966" width="14.5703125" customWidth="1"/>
    <col min="8967" max="8967" width="15.7109375" customWidth="1"/>
    <col min="8968" max="8968" width="15.85546875" customWidth="1"/>
    <col min="8969" max="8969" width="14.28515625" customWidth="1"/>
    <col min="8970" max="8970" width="17.42578125" customWidth="1"/>
    <col min="8971" max="8971" width="14.7109375" customWidth="1"/>
    <col min="8972" max="8973" width="13.42578125" customWidth="1"/>
    <col min="8974" max="8974" width="17" customWidth="1"/>
    <col min="8975" max="8975" width="14.85546875" customWidth="1"/>
    <col min="8976" max="8976" width="17.28515625" customWidth="1"/>
    <col min="8977" max="8977" width="14.85546875" customWidth="1"/>
    <col min="8978" max="8978" width="14.28515625" customWidth="1"/>
    <col min="8979" max="8979" width="14" customWidth="1"/>
    <col min="8980" max="8980" width="13.85546875" customWidth="1"/>
    <col min="9218" max="9218" width="35.42578125" customWidth="1"/>
    <col min="9219" max="9219" width="18.28515625" customWidth="1"/>
    <col min="9220" max="9220" width="16.85546875" customWidth="1"/>
    <col min="9221" max="9221" width="15.5703125" customWidth="1"/>
    <col min="9222" max="9222" width="14.5703125" customWidth="1"/>
    <col min="9223" max="9223" width="15.7109375" customWidth="1"/>
    <col min="9224" max="9224" width="15.85546875" customWidth="1"/>
    <col min="9225" max="9225" width="14.28515625" customWidth="1"/>
    <col min="9226" max="9226" width="17.42578125" customWidth="1"/>
    <col min="9227" max="9227" width="14.7109375" customWidth="1"/>
    <col min="9228" max="9229" width="13.42578125" customWidth="1"/>
    <col min="9230" max="9230" width="17" customWidth="1"/>
    <col min="9231" max="9231" width="14.85546875" customWidth="1"/>
    <col min="9232" max="9232" width="17.28515625" customWidth="1"/>
    <col min="9233" max="9233" width="14.85546875" customWidth="1"/>
    <col min="9234" max="9234" width="14.28515625" customWidth="1"/>
    <col min="9235" max="9235" width="14" customWidth="1"/>
    <col min="9236" max="9236" width="13.85546875" customWidth="1"/>
    <col min="9474" max="9474" width="35.42578125" customWidth="1"/>
    <col min="9475" max="9475" width="18.28515625" customWidth="1"/>
    <col min="9476" max="9476" width="16.85546875" customWidth="1"/>
    <col min="9477" max="9477" width="15.5703125" customWidth="1"/>
    <col min="9478" max="9478" width="14.5703125" customWidth="1"/>
    <col min="9479" max="9479" width="15.7109375" customWidth="1"/>
    <col min="9480" max="9480" width="15.85546875" customWidth="1"/>
    <col min="9481" max="9481" width="14.28515625" customWidth="1"/>
    <col min="9482" max="9482" width="17.42578125" customWidth="1"/>
    <col min="9483" max="9483" width="14.7109375" customWidth="1"/>
    <col min="9484" max="9485" width="13.42578125" customWidth="1"/>
    <col min="9486" max="9486" width="17" customWidth="1"/>
    <col min="9487" max="9487" width="14.85546875" customWidth="1"/>
    <col min="9488" max="9488" width="17.28515625" customWidth="1"/>
    <col min="9489" max="9489" width="14.85546875" customWidth="1"/>
    <col min="9490" max="9490" width="14.28515625" customWidth="1"/>
    <col min="9491" max="9491" width="14" customWidth="1"/>
    <col min="9492" max="9492" width="13.85546875" customWidth="1"/>
    <col min="9730" max="9730" width="35.42578125" customWidth="1"/>
    <col min="9731" max="9731" width="18.28515625" customWidth="1"/>
    <col min="9732" max="9732" width="16.85546875" customWidth="1"/>
    <col min="9733" max="9733" width="15.5703125" customWidth="1"/>
    <col min="9734" max="9734" width="14.5703125" customWidth="1"/>
    <col min="9735" max="9735" width="15.7109375" customWidth="1"/>
    <col min="9736" max="9736" width="15.85546875" customWidth="1"/>
    <col min="9737" max="9737" width="14.28515625" customWidth="1"/>
    <col min="9738" max="9738" width="17.42578125" customWidth="1"/>
    <col min="9739" max="9739" width="14.7109375" customWidth="1"/>
    <col min="9740" max="9741" width="13.42578125" customWidth="1"/>
    <col min="9742" max="9742" width="17" customWidth="1"/>
    <col min="9743" max="9743" width="14.85546875" customWidth="1"/>
    <col min="9744" max="9744" width="17.28515625" customWidth="1"/>
    <col min="9745" max="9745" width="14.85546875" customWidth="1"/>
    <col min="9746" max="9746" width="14.28515625" customWidth="1"/>
    <col min="9747" max="9747" width="14" customWidth="1"/>
    <col min="9748" max="9748" width="13.85546875" customWidth="1"/>
    <col min="9986" max="9986" width="35.42578125" customWidth="1"/>
    <col min="9987" max="9987" width="18.28515625" customWidth="1"/>
    <col min="9988" max="9988" width="16.85546875" customWidth="1"/>
    <col min="9989" max="9989" width="15.5703125" customWidth="1"/>
    <col min="9990" max="9990" width="14.5703125" customWidth="1"/>
    <col min="9991" max="9991" width="15.7109375" customWidth="1"/>
    <col min="9992" max="9992" width="15.85546875" customWidth="1"/>
    <col min="9993" max="9993" width="14.28515625" customWidth="1"/>
    <col min="9994" max="9994" width="17.42578125" customWidth="1"/>
    <col min="9995" max="9995" width="14.7109375" customWidth="1"/>
    <col min="9996" max="9997" width="13.42578125" customWidth="1"/>
    <col min="9998" max="9998" width="17" customWidth="1"/>
    <col min="9999" max="9999" width="14.85546875" customWidth="1"/>
    <col min="10000" max="10000" width="17.28515625" customWidth="1"/>
    <col min="10001" max="10001" width="14.85546875" customWidth="1"/>
    <col min="10002" max="10002" width="14.28515625" customWidth="1"/>
    <col min="10003" max="10003" width="14" customWidth="1"/>
    <col min="10004" max="10004" width="13.85546875" customWidth="1"/>
    <col min="10242" max="10242" width="35.42578125" customWidth="1"/>
    <col min="10243" max="10243" width="18.28515625" customWidth="1"/>
    <col min="10244" max="10244" width="16.85546875" customWidth="1"/>
    <col min="10245" max="10245" width="15.5703125" customWidth="1"/>
    <col min="10246" max="10246" width="14.5703125" customWidth="1"/>
    <col min="10247" max="10247" width="15.7109375" customWidth="1"/>
    <col min="10248" max="10248" width="15.85546875" customWidth="1"/>
    <col min="10249" max="10249" width="14.28515625" customWidth="1"/>
    <col min="10250" max="10250" width="17.42578125" customWidth="1"/>
    <col min="10251" max="10251" width="14.7109375" customWidth="1"/>
    <col min="10252" max="10253" width="13.42578125" customWidth="1"/>
    <col min="10254" max="10254" width="17" customWidth="1"/>
    <col min="10255" max="10255" width="14.85546875" customWidth="1"/>
    <col min="10256" max="10256" width="17.28515625" customWidth="1"/>
    <col min="10257" max="10257" width="14.85546875" customWidth="1"/>
    <col min="10258" max="10258" width="14.28515625" customWidth="1"/>
    <col min="10259" max="10259" width="14" customWidth="1"/>
    <col min="10260" max="10260" width="13.85546875" customWidth="1"/>
    <col min="10498" max="10498" width="35.42578125" customWidth="1"/>
    <col min="10499" max="10499" width="18.28515625" customWidth="1"/>
    <col min="10500" max="10500" width="16.85546875" customWidth="1"/>
    <col min="10501" max="10501" width="15.5703125" customWidth="1"/>
    <col min="10502" max="10502" width="14.5703125" customWidth="1"/>
    <col min="10503" max="10503" width="15.7109375" customWidth="1"/>
    <col min="10504" max="10504" width="15.85546875" customWidth="1"/>
    <col min="10505" max="10505" width="14.28515625" customWidth="1"/>
    <col min="10506" max="10506" width="17.42578125" customWidth="1"/>
    <col min="10507" max="10507" width="14.7109375" customWidth="1"/>
    <col min="10508" max="10509" width="13.42578125" customWidth="1"/>
    <col min="10510" max="10510" width="17" customWidth="1"/>
    <col min="10511" max="10511" width="14.85546875" customWidth="1"/>
    <col min="10512" max="10512" width="17.28515625" customWidth="1"/>
    <col min="10513" max="10513" width="14.85546875" customWidth="1"/>
    <col min="10514" max="10514" width="14.28515625" customWidth="1"/>
    <col min="10515" max="10515" width="14" customWidth="1"/>
    <col min="10516" max="10516" width="13.85546875" customWidth="1"/>
    <col min="10754" max="10754" width="35.42578125" customWidth="1"/>
    <col min="10755" max="10755" width="18.28515625" customWidth="1"/>
    <col min="10756" max="10756" width="16.85546875" customWidth="1"/>
    <col min="10757" max="10757" width="15.5703125" customWidth="1"/>
    <col min="10758" max="10758" width="14.5703125" customWidth="1"/>
    <col min="10759" max="10759" width="15.7109375" customWidth="1"/>
    <col min="10760" max="10760" width="15.85546875" customWidth="1"/>
    <col min="10761" max="10761" width="14.28515625" customWidth="1"/>
    <col min="10762" max="10762" width="17.42578125" customWidth="1"/>
    <col min="10763" max="10763" width="14.7109375" customWidth="1"/>
    <col min="10764" max="10765" width="13.42578125" customWidth="1"/>
    <col min="10766" max="10766" width="17" customWidth="1"/>
    <col min="10767" max="10767" width="14.85546875" customWidth="1"/>
    <col min="10768" max="10768" width="17.28515625" customWidth="1"/>
    <col min="10769" max="10769" width="14.85546875" customWidth="1"/>
    <col min="10770" max="10770" width="14.28515625" customWidth="1"/>
    <col min="10771" max="10771" width="14" customWidth="1"/>
    <col min="10772" max="10772" width="13.85546875" customWidth="1"/>
    <col min="11010" max="11010" width="35.42578125" customWidth="1"/>
    <col min="11011" max="11011" width="18.28515625" customWidth="1"/>
    <col min="11012" max="11012" width="16.85546875" customWidth="1"/>
    <col min="11013" max="11013" width="15.5703125" customWidth="1"/>
    <col min="11014" max="11014" width="14.5703125" customWidth="1"/>
    <col min="11015" max="11015" width="15.7109375" customWidth="1"/>
    <col min="11016" max="11016" width="15.85546875" customWidth="1"/>
    <col min="11017" max="11017" width="14.28515625" customWidth="1"/>
    <col min="11018" max="11018" width="17.42578125" customWidth="1"/>
    <col min="11019" max="11019" width="14.7109375" customWidth="1"/>
    <col min="11020" max="11021" width="13.42578125" customWidth="1"/>
    <col min="11022" max="11022" width="17" customWidth="1"/>
    <col min="11023" max="11023" width="14.85546875" customWidth="1"/>
    <col min="11024" max="11024" width="17.28515625" customWidth="1"/>
    <col min="11025" max="11025" width="14.85546875" customWidth="1"/>
    <col min="11026" max="11026" width="14.28515625" customWidth="1"/>
    <col min="11027" max="11027" width="14" customWidth="1"/>
    <col min="11028" max="11028" width="13.85546875" customWidth="1"/>
    <col min="11266" max="11266" width="35.42578125" customWidth="1"/>
    <col min="11267" max="11267" width="18.28515625" customWidth="1"/>
    <col min="11268" max="11268" width="16.85546875" customWidth="1"/>
    <col min="11269" max="11269" width="15.5703125" customWidth="1"/>
    <col min="11270" max="11270" width="14.5703125" customWidth="1"/>
    <col min="11271" max="11271" width="15.7109375" customWidth="1"/>
    <col min="11272" max="11272" width="15.85546875" customWidth="1"/>
    <col min="11273" max="11273" width="14.28515625" customWidth="1"/>
    <col min="11274" max="11274" width="17.42578125" customWidth="1"/>
    <col min="11275" max="11275" width="14.7109375" customWidth="1"/>
    <col min="11276" max="11277" width="13.42578125" customWidth="1"/>
    <col min="11278" max="11278" width="17" customWidth="1"/>
    <col min="11279" max="11279" width="14.85546875" customWidth="1"/>
    <col min="11280" max="11280" width="17.28515625" customWidth="1"/>
    <col min="11281" max="11281" width="14.85546875" customWidth="1"/>
    <col min="11282" max="11282" width="14.28515625" customWidth="1"/>
    <col min="11283" max="11283" width="14" customWidth="1"/>
    <col min="11284" max="11284" width="13.85546875" customWidth="1"/>
    <col min="11522" max="11522" width="35.42578125" customWidth="1"/>
    <col min="11523" max="11523" width="18.28515625" customWidth="1"/>
    <col min="11524" max="11524" width="16.85546875" customWidth="1"/>
    <col min="11525" max="11525" width="15.5703125" customWidth="1"/>
    <col min="11526" max="11526" width="14.5703125" customWidth="1"/>
    <col min="11527" max="11527" width="15.7109375" customWidth="1"/>
    <col min="11528" max="11528" width="15.85546875" customWidth="1"/>
    <col min="11529" max="11529" width="14.28515625" customWidth="1"/>
    <col min="11530" max="11530" width="17.42578125" customWidth="1"/>
    <col min="11531" max="11531" width="14.7109375" customWidth="1"/>
    <col min="11532" max="11533" width="13.42578125" customWidth="1"/>
    <col min="11534" max="11534" width="17" customWidth="1"/>
    <col min="11535" max="11535" width="14.85546875" customWidth="1"/>
    <col min="11536" max="11536" width="17.28515625" customWidth="1"/>
    <col min="11537" max="11537" width="14.85546875" customWidth="1"/>
    <col min="11538" max="11538" width="14.28515625" customWidth="1"/>
    <col min="11539" max="11539" width="14" customWidth="1"/>
    <col min="11540" max="11540" width="13.85546875" customWidth="1"/>
    <col min="11778" max="11778" width="35.42578125" customWidth="1"/>
    <col min="11779" max="11779" width="18.28515625" customWidth="1"/>
    <col min="11780" max="11780" width="16.85546875" customWidth="1"/>
    <col min="11781" max="11781" width="15.5703125" customWidth="1"/>
    <col min="11782" max="11782" width="14.5703125" customWidth="1"/>
    <col min="11783" max="11783" width="15.7109375" customWidth="1"/>
    <col min="11784" max="11784" width="15.85546875" customWidth="1"/>
    <col min="11785" max="11785" width="14.28515625" customWidth="1"/>
    <col min="11786" max="11786" width="17.42578125" customWidth="1"/>
    <col min="11787" max="11787" width="14.7109375" customWidth="1"/>
    <col min="11788" max="11789" width="13.42578125" customWidth="1"/>
    <col min="11790" max="11790" width="17" customWidth="1"/>
    <col min="11791" max="11791" width="14.85546875" customWidth="1"/>
    <col min="11792" max="11792" width="17.28515625" customWidth="1"/>
    <col min="11793" max="11793" width="14.85546875" customWidth="1"/>
    <col min="11794" max="11794" width="14.28515625" customWidth="1"/>
    <col min="11795" max="11795" width="14" customWidth="1"/>
    <col min="11796" max="11796" width="13.85546875" customWidth="1"/>
    <col min="12034" max="12034" width="35.42578125" customWidth="1"/>
    <col min="12035" max="12035" width="18.28515625" customWidth="1"/>
    <col min="12036" max="12036" width="16.85546875" customWidth="1"/>
    <col min="12037" max="12037" width="15.5703125" customWidth="1"/>
    <col min="12038" max="12038" width="14.5703125" customWidth="1"/>
    <col min="12039" max="12039" width="15.7109375" customWidth="1"/>
    <col min="12040" max="12040" width="15.85546875" customWidth="1"/>
    <col min="12041" max="12041" width="14.28515625" customWidth="1"/>
    <col min="12042" max="12042" width="17.42578125" customWidth="1"/>
    <col min="12043" max="12043" width="14.7109375" customWidth="1"/>
    <col min="12044" max="12045" width="13.42578125" customWidth="1"/>
    <col min="12046" max="12046" width="17" customWidth="1"/>
    <col min="12047" max="12047" width="14.85546875" customWidth="1"/>
    <col min="12048" max="12048" width="17.28515625" customWidth="1"/>
    <col min="12049" max="12049" width="14.85546875" customWidth="1"/>
    <col min="12050" max="12050" width="14.28515625" customWidth="1"/>
    <col min="12051" max="12051" width="14" customWidth="1"/>
    <col min="12052" max="12052" width="13.85546875" customWidth="1"/>
    <col min="12290" max="12290" width="35.42578125" customWidth="1"/>
    <col min="12291" max="12291" width="18.28515625" customWidth="1"/>
    <col min="12292" max="12292" width="16.85546875" customWidth="1"/>
    <col min="12293" max="12293" width="15.5703125" customWidth="1"/>
    <col min="12294" max="12294" width="14.5703125" customWidth="1"/>
    <col min="12295" max="12295" width="15.7109375" customWidth="1"/>
    <col min="12296" max="12296" width="15.85546875" customWidth="1"/>
    <col min="12297" max="12297" width="14.28515625" customWidth="1"/>
    <col min="12298" max="12298" width="17.42578125" customWidth="1"/>
    <col min="12299" max="12299" width="14.7109375" customWidth="1"/>
    <col min="12300" max="12301" width="13.42578125" customWidth="1"/>
    <col min="12302" max="12302" width="17" customWidth="1"/>
    <col min="12303" max="12303" width="14.85546875" customWidth="1"/>
    <col min="12304" max="12304" width="17.28515625" customWidth="1"/>
    <col min="12305" max="12305" width="14.85546875" customWidth="1"/>
    <col min="12306" max="12306" width="14.28515625" customWidth="1"/>
    <col min="12307" max="12307" width="14" customWidth="1"/>
    <col min="12308" max="12308" width="13.85546875" customWidth="1"/>
    <col min="12546" max="12546" width="35.42578125" customWidth="1"/>
    <col min="12547" max="12547" width="18.28515625" customWidth="1"/>
    <col min="12548" max="12548" width="16.85546875" customWidth="1"/>
    <col min="12549" max="12549" width="15.5703125" customWidth="1"/>
    <col min="12550" max="12550" width="14.5703125" customWidth="1"/>
    <col min="12551" max="12551" width="15.7109375" customWidth="1"/>
    <col min="12552" max="12552" width="15.85546875" customWidth="1"/>
    <col min="12553" max="12553" width="14.28515625" customWidth="1"/>
    <col min="12554" max="12554" width="17.42578125" customWidth="1"/>
    <col min="12555" max="12555" width="14.7109375" customWidth="1"/>
    <col min="12556" max="12557" width="13.42578125" customWidth="1"/>
    <col min="12558" max="12558" width="17" customWidth="1"/>
    <col min="12559" max="12559" width="14.85546875" customWidth="1"/>
    <col min="12560" max="12560" width="17.28515625" customWidth="1"/>
    <col min="12561" max="12561" width="14.85546875" customWidth="1"/>
    <col min="12562" max="12562" width="14.28515625" customWidth="1"/>
    <col min="12563" max="12563" width="14" customWidth="1"/>
    <col min="12564" max="12564" width="13.85546875" customWidth="1"/>
    <col min="12802" max="12802" width="35.42578125" customWidth="1"/>
    <col min="12803" max="12803" width="18.28515625" customWidth="1"/>
    <col min="12804" max="12804" width="16.85546875" customWidth="1"/>
    <col min="12805" max="12805" width="15.5703125" customWidth="1"/>
    <col min="12806" max="12806" width="14.5703125" customWidth="1"/>
    <col min="12807" max="12807" width="15.7109375" customWidth="1"/>
    <col min="12808" max="12808" width="15.85546875" customWidth="1"/>
    <col min="12809" max="12809" width="14.28515625" customWidth="1"/>
    <col min="12810" max="12810" width="17.42578125" customWidth="1"/>
    <col min="12811" max="12811" width="14.7109375" customWidth="1"/>
    <col min="12812" max="12813" width="13.42578125" customWidth="1"/>
    <col min="12814" max="12814" width="17" customWidth="1"/>
    <col min="12815" max="12815" width="14.85546875" customWidth="1"/>
    <col min="12816" max="12816" width="17.28515625" customWidth="1"/>
    <col min="12817" max="12817" width="14.85546875" customWidth="1"/>
    <col min="12818" max="12818" width="14.28515625" customWidth="1"/>
    <col min="12819" max="12819" width="14" customWidth="1"/>
    <col min="12820" max="12820" width="13.85546875" customWidth="1"/>
    <col min="13058" max="13058" width="35.42578125" customWidth="1"/>
    <col min="13059" max="13059" width="18.28515625" customWidth="1"/>
    <col min="13060" max="13060" width="16.85546875" customWidth="1"/>
    <col min="13061" max="13061" width="15.5703125" customWidth="1"/>
    <col min="13062" max="13062" width="14.5703125" customWidth="1"/>
    <col min="13063" max="13063" width="15.7109375" customWidth="1"/>
    <col min="13064" max="13064" width="15.85546875" customWidth="1"/>
    <col min="13065" max="13065" width="14.28515625" customWidth="1"/>
    <col min="13066" max="13066" width="17.42578125" customWidth="1"/>
    <col min="13067" max="13067" width="14.7109375" customWidth="1"/>
    <col min="13068" max="13069" width="13.42578125" customWidth="1"/>
    <col min="13070" max="13070" width="17" customWidth="1"/>
    <col min="13071" max="13071" width="14.85546875" customWidth="1"/>
    <col min="13072" max="13072" width="17.28515625" customWidth="1"/>
    <col min="13073" max="13073" width="14.85546875" customWidth="1"/>
    <col min="13074" max="13074" width="14.28515625" customWidth="1"/>
    <col min="13075" max="13075" width="14" customWidth="1"/>
    <col min="13076" max="13076" width="13.85546875" customWidth="1"/>
    <col min="13314" max="13314" width="35.42578125" customWidth="1"/>
    <col min="13315" max="13315" width="18.28515625" customWidth="1"/>
    <col min="13316" max="13316" width="16.85546875" customWidth="1"/>
    <col min="13317" max="13317" width="15.5703125" customWidth="1"/>
    <col min="13318" max="13318" width="14.5703125" customWidth="1"/>
    <col min="13319" max="13319" width="15.7109375" customWidth="1"/>
    <col min="13320" max="13320" width="15.85546875" customWidth="1"/>
    <col min="13321" max="13321" width="14.28515625" customWidth="1"/>
    <col min="13322" max="13322" width="17.42578125" customWidth="1"/>
    <col min="13323" max="13323" width="14.7109375" customWidth="1"/>
    <col min="13324" max="13325" width="13.42578125" customWidth="1"/>
    <col min="13326" max="13326" width="17" customWidth="1"/>
    <col min="13327" max="13327" width="14.85546875" customWidth="1"/>
    <col min="13328" max="13328" width="17.28515625" customWidth="1"/>
    <col min="13329" max="13329" width="14.85546875" customWidth="1"/>
    <col min="13330" max="13330" width="14.28515625" customWidth="1"/>
    <col min="13331" max="13331" width="14" customWidth="1"/>
    <col min="13332" max="13332" width="13.85546875" customWidth="1"/>
    <col min="13570" max="13570" width="35.42578125" customWidth="1"/>
    <col min="13571" max="13571" width="18.28515625" customWidth="1"/>
    <col min="13572" max="13572" width="16.85546875" customWidth="1"/>
    <col min="13573" max="13573" width="15.5703125" customWidth="1"/>
    <col min="13574" max="13574" width="14.5703125" customWidth="1"/>
    <col min="13575" max="13575" width="15.7109375" customWidth="1"/>
    <col min="13576" max="13576" width="15.85546875" customWidth="1"/>
    <col min="13577" max="13577" width="14.28515625" customWidth="1"/>
    <col min="13578" max="13578" width="17.42578125" customWidth="1"/>
    <col min="13579" max="13579" width="14.7109375" customWidth="1"/>
    <col min="13580" max="13581" width="13.42578125" customWidth="1"/>
    <col min="13582" max="13582" width="17" customWidth="1"/>
    <col min="13583" max="13583" width="14.85546875" customWidth="1"/>
    <col min="13584" max="13584" width="17.28515625" customWidth="1"/>
    <col min="13585" max="13585" width="14.85546875" customWidth="1"/>
    <col min="13586" max="13586" width="14.28515625" customWidth="1"/>
    <col min="13587" max="13587" width="14" customWidth="1"/>
    <col min="13588" max="13588" width="13.85546875" customWidth="1"/>
    <col min="13826" max="13826" width="35.42578125" customWidth="1"/>
    <col min="13827" max="13827" width="18.28515625" customWidth="1"/>
    <col min="13828" max="13828" width="16.85546875" customWidth="1"/>
    <col min="13829" max="13829" width="15.5703125" customWidth="1"/>
    <col min="13830" max="13830" width="14.5703125" customWidth="1"/>
    <col min="13831" max="13831" width="15.7109375" customWidth="1"/>
    <col min="13832" max="13832" width="15.85546875" customWidth="1"/>
    <col min="13833" max="13833" width="14.28515625" customWidth="1"/>
    <col min="13834" max="13834" width="17.42578125" customWidth="1"/>
    <col min="13835" max="13835" width="14.7109375" customWidth="1"/>
    <col min="13836" max="13837" width="13.42578125" customWidth="1"/>
    <col min="13838" max="13838" width="17" customWidth="1"/>
    <col min="13839" max="13839" width="14.85546875" customWidth="1"/>
    <col min="13840" max="13840" width="17.28515625" customWidth="1"/>
    <col min="13841" max="13841" width="14.85546875" customWidth="1"/>
    <col min="13842" max="13842" width="14.28515625" customWidth="1"/>
    <col min="13843" max="13843" width="14" customWidth="1"/>
    <col min="13844" max="13844" width="13.85546875" customWidth="1"/>
    <col min="14082" max="14082" width="35.42578125" customWidth="1"/>
    <col min="14083" max="14083" width="18.28515625" customWidth="1"/>
    <col min="14084" max="14084" width="16.85546875" customWidth="1"/>
    <col min="14085" max="14085" width="15.5703125" customWidth="1"/>
    <col min="14086" max="14086" width="14.5703125" customWidth="1"/>
    <col min="14087" max="14087" width="15.7109375" customWidth="1"/>
    <col min="14088" max="14088" width="15.85546875" customWidth="1"/>
    <col min="14089" max="14089" width="14.28515625" customWidth="1"/>
    <col min="14090" max="14090" width="17.42578125" customWidth="1"/>
    <col min="14091" max="14091" width="14.7109375" customWidth="1"/>
    <col min="14092" max="14093" width="13.42578125" customWidth="1"/>
    <col min="14094" max="14094" width="17" customWidth="1"/>
    <col min="14095" max="14095" width="14.85546875" customWidth="1"/>
    <col min="14096" max="14096" width="17.28515625" customWidth="1"/>
    <col min="14097" max="14097" width="14.85546875" customWidth="1"/>
    <col min="14098" max="14098" width="14.28515625" customWidth="1"/>
    <col min="14099" max="14099" width="14" customWidth="1"/>
    <col min="14100" max="14100" width="13.85546875" customWidth="1"/>
    <col min="14338" max="14338" width="35.42578125" customWidth="1"/>
    <col min="14339" max="14339" width="18.28515625" customWidth="1"/>
    <col min="14340" max="14340" width="16.85546875" customWidth="1"/>
    <col min="14341" max="14341" width="15.5703125" customWidth="1"/>
    <col min="14342" max="14342" width="14.5703125" customWidth="1"/>
    <col min="14343" max="14343" width="15.7109375" customWidth="1"/>
    <col min="14344" max="14344" width="15.85546875" customWidth="1"/>
    <col min="14345" max="14345" width="14.28515625" customWidth="1"/>
    <col min="14346" max="14346" width="17.42578125" customWidth="1"/>
    <col min="14347" max="14347" width="14.7109375" customWidth="1"/>
    <col min="14348" max="14349" width="13.42578125" customWidth="1"/>
    <col min="14350" max="14350" width="17" customWidth="1"/>
    <col min="14351" max="14351" width="14.85546875" customWidth="1"/>
    <col min="14352" max="14352" width="17.28515625" customWidth="1"/>
    <col min="14353" max="14353" width="14.85546875" customWidth="1"/>
    <col min="14354" max="14354" width="14.28515625" customWidth="1"/>
    <col min="14355" max="14355" width="14" customWidth="1"/>
    <col min="14356" max="14356" width="13.85546875" customWidth="1"/>
    <col min="14594" max="14594" width="35.42578125" customWidth="1"/>
    <col min="14595" max="14595" width="18.28515625" customWidth="1"/>
    <col min="14596" max="14596" width="16.85546875" customWidth="1"/>
    <col min="14597" max="14597" width="15.5703125" customWidth="1"/>
    <col min="14598" max="14598" width="14.5703125" customWidth="1"/>
    <col min="14599" max="14599" width="15.7109375" customWidth="1"/>
    <col min="14600" max="14600" width="15.85546875" customWidth="1"/>
    <col min="14601" max="14601" width="14.28515625" customWidth="1"/>
    <col min="14602" max="14602" width="17.42578125" customWidth="1"/>
    <col min="14603" max="14603" width="14.7109375" customWidth="1"/>
    <col min="14604" max="14605" width="13.42578125" customWidth="1"/>
    <col min="14606" max="14606" width="17" customWidth="1"/>
    <col min="14607" max="14607" width="14.85546875" customWidth="1"/>
    <col min="14608" max="14608" width="17.28515625" customWidth="1"/>
    <col min="14609" max="14609" width="14.85546875" customWidth="1"/>
    <col min="14610" max="14610" width="14.28515625" customWidth="1"/>
    <col min="14611" max="14611" width="14" customWidth="1"/>
    <col min="14612" max="14612" width="13.85546875" customWidth="1"/>
    <col min="14850" max="14850" width="35.42578125" customWidth="1"/>
    <col min="14851" max="14851" width="18.28515625" customWidth="1"/>
    <col min="14852" max="14852" width="16.85546875" customWidth="1"/>
    <col min="14853" max="14853" width="15.5703125" customWidth="1"/>
    <col min="14854" max="14854" width="14.5703125" customWidth="1"/>
    <col min="14855" max="14855" width="15.7109375" customWidth="1"/>
    <col min="14856" max="14856" width="15.85546875" customWidth="1"/>
    <col min="14857" max="14857" width="14.28515625" customWidth="1"/>
    <col min="14858" max="14858" width="17.42578125" customWidth="1"/>
    <col min="14859" max="14859" width="14.7109375" customWidth="1"/>
    <col min="14860" max="14861" width="13.42578125" customWidth="1"/>
    <col min="14862" max="14862" width="17" customWidth="1"/>
    <col min="14863" max="14863" width="14.85546875" customWidth="1"/>
    <col min="14864" max="14864" width="17.28515625" customWidth="1"/>
    <col min="14865" max="14865" width="14.85546875" customWidth="1"/>
    <col min="14866" max="14866" width="14.28515625" customWidth="1"/>
    <col min="14867" max="14867" width="14" customWidth="1"/>
    <col min="14868" max="14868" width="13.85546875" customWidth="1"/>
    <col min="15106" max="15106" width="35.42578125" customWidth="1"/>
    <col min="15107" max="15107" width="18.28515625" customWidth="1"/>
    <col min="15108" max="15108" width="16.85546875" customWidth="1"/>
    <col min="15109" max="15109" width="15.5703125" customWidth="1"/>
    <col min="15110" max="15110" width="14.5703125" customWidth="1"/>
    <col min="15111" max="15111" width="15.7109375" customWidth="1"/>
    <col min="15112" max="15112" width="15.85546875" customWidth="1"/>
    <col min="15113" max="15113" width="14.28515625" customWidth="1"/>
    <col min="15114" max="15114" width="17.42578125" customWidth="1"/>
    <col min="15115" max="15115" width="14.7109375" customWidth="1"/>
    <col min="15116" max="15117" width="13.42578125" customWidth="1"/>
    <col min="15118" max="15118" width="17" customWidth="1"/>
    <col min="15119" max="15119" width="14.85546875" customWidth="1"/>
    <col min="15120" max="15120" width="17.28515625" customWidth="1"/>
    <col min="15121" max="15121" width="14.85546875" customWidth="1"/>
    <col min="15122" max="15122" width="14.28515625" customWidth="1"/>
    <col min="15123" max="15123" width="14" customWidth="1"/>
    <col min="15124" max="15124" width="13.85546875" customWidth="1"/>
    <col min="15362" max="15362" width="35.42578125" customWidth="1"/>
    <col min="15363" max="15363" width="18.28515625" customWidth="1"/>
    <col min="15364" max="15364" width="16.85546875" customWidth="1"/>
    <col min="15365" max="15365" width="15.5703125" customWidth="1"/>
    <col min="15366" max="15366" width="14.5703125" customWidth="1"/>
    <col min="15367" max="15367" width="15.7109375" customWidth="1"/>
    <col min="15368" max="15368" width="15.85546875" customWidth="1"/>
    <col min="15369" max="15369" width="14.28515625" customWidth="1"/>
    <col min="15370" max="15370" width="17.42578125" customWidth="1"/>
    <col min="15371" max="15371" width="14.7109375" customWidth="1"/>
    <col min="15372" max="15373" width="13.42578125" customWidth="1"/>
    <col min="15374" max="15374" width="17" customWidth="1"/>
    <col min="15375" max="15375" width="14.85546875" customWidth="1"/>
    <col min="15376" max="15376" width="17.28515625" customWidth="1"/>
    <col min="15377" max="15377" width="14.85546875" customWidth="1"/>
    <col min="15378" max="15378" width="14.28515625" customWidth="1"/>
    <col min="15379" max="15379" width="14" customWidth="1"/>
    <col min="15380" max="15380" width="13.85546875" customWidth="1"/>
    <col min="15618" max="15618" width="35.42578125" customWidth="1"/>
    <col min="15619" max="15619" width="18.28515625" customWidth="1"/>
    <col min="15620" max="15620" width="16.85546875" customWidth="1"/>
    <col min="15621" max="15621" width="15.5703125" customWidth="1"/>
    <col min="15622" max="15622" width="14.5703125" customWidth="1"/>
    <col min="15623" max="15623" width="15.7109375" customWidth="1"/>
    <col min="15624" max="15624" width="15.85546875" customWidth="1"/>
    <col min="15625" max="15625" width="14.28515625" customWidth="1"/>
    <col min="15626" max="15626" width="17.42578125" customWidth="1"/>
    <col min="15627" max="15627" width="14.7109375" customWidth="1"/>
    <col min="15628" max="15629" width="13.42578125" customWidth="1"/>
    <col min="15630" max="15630" width="17" customWidth="1"/>
    <col min="15631" max="15631" width="14.85546875" customWidth="1"/>
    <col min="15632" max="15632" width="17.28515625" customWidth="1"/>
    <col min="15633" max="15633" width="14.85546875" customWidth="1"/>
    <col min="15634" max="15634" width="14.28515625" customWidth="1"/>
    <col min="15635" max="15635" width="14" customWidth="1"/>
    <col min="15636" max="15636" width="13.85546875" customWidth="1"/>
    <col min="15874" max="15874" width="35.42578125" customWidth="1"/>
    <col min="15875" max="15875" width="18.28515625" customWidth="1"/>
    <col min="15876" max="15876" width="16.85546875" customWidth="1"/>
    <col min="15877" max="15877" width="15.5703125" customWidth="1"/>
    <col min="15878" max="15878" width="14.5703125" customWidth="1"/>
    <col min="15879" max="15879" width="15.7109375" customWidth="1"/>
    <col min="15880" max="15880" width="15.85546875" customWidth="1"/>
    <col min="15881" max="15881" width="14.28515625" customWidth="1"/>
    <col min="15882" max="15882" width="17.42578125" customWidth="1"/>
    <col min="15883" max="15883" width="14.7109375" customWidth="1"/>
    <col min="15884" max="15885" width="13.42578125" customWidth="1"/>
    <col min="15886" max="15886" width="17" customWidth="1"/>
    <col min="15887" max="15887" width="14.85546875" customWidth="1"/>
    <col min="15888" max="15888" width="17.28515625" customWidth="1"/>
    <col min="15889" max="15889" width="14.85546875" customWidth="1"/>
    <col min="15890" max="15890" width="14.28515625" customWidth="1"/>
    <col min="15891" max="15891" width="14" customWidth="1"/>
    <col min="15892" max="15892" width="13.85546875" customWidth="1"/>
    <col min="16130" max="16130" width="35.42578125" customWidth="1"/>
    <col min="16131" max="16131" width="18.28515625" customWidth="1"/>
    <col min="16132" max="16132" width="16.85546875" customWidth="1"/>
    <col min="16133" max="16133" width="15.5703125" customWidth="1"/>
    <col min="16134" max="16134" width="14.5703125" customWidth="1"/>
    <col min="16135" max="16135" width="15.7109375" customWidth="1"/>
    <col min="16136" max="16136" width="15.85546875" customWidth="1"/>
    <col min="16137" max="16137" width="14.28515625" customWidth="1"/>
    <col min="16138" max="16138" width="17.42578125" customWidth="1"/>
    <col min="16139" max="16139" width="14.7109375" customWidth="1"/>
    <col min="16140" max="16141" width="13.42578125" customWidth="1"/>
    <col min="16142" max="16142" width="17" customWidth="1"/>
    <col min="16143" max="16143" width="14.85546875" customWidth="1"/>
    <col min="16144" max="16144" width="17.28515625" customWidth="1"/>
    <col min="16145" max="16145" width="14.85546875" customWidth="1"/>
    <col min="16146" max="16146" width="14.28515625" customWidth="1"/>
    <col min="16147" max="16147" width="14" customWidth="1"/>
    <col min="16148" max="16148" width="13.85546875" customWidth="1"/>
  </cols>
  <sheetData>
    <row r="1" spans="1:20" s="54" customFormat="1" ht="31.5" x14ac:dyDescent="0.5">
      <c r="A1" s="53" t="s">
        <v>0</v>
      </c>
      <c r="J1" s="53" t="s">
        <v>61</v>
      </c>
    </row>
    <row r="2" spans="1:20" ht="7.5" customHeight="1" x14ac:dyDescent="0.3">
      <c r="A2" s="1"/>
    </row>
    <row r="3" spans="1:20" ht="9.75" customHeight="1" x14ac:dyDescent="0.25"/>
    <row r="4" spans="1:20" s="3" customFormat="1" ht="63.7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</row>
    <row r="5" spans="1:20" s="7" customFormat="1" ht="18.75" x14ac:dyDescent="0.3">
      <c r="A5" s="4">
        <v>1</v>
      </c>
      <c r="B5" s="5" t="s">
        <v>21</v>
      </c>
      <c r="C5" s="6">
        <v>468271.22</v>
      </c>
      <c r="D5" s="6"/>
      <c r="E5" s="6">
        <v>468271.22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11" customFormat="1" ht="37.5" x14ac:dyDescent="0.3">
      <c r="A6" s="8">
        <v>2</v>
      </c>
      <c r="B6" s="9" t="s">
        <v>22</v>
      </c>
      <c r="C6" s="10">
        <f t="shared" ref="C6:C31" si="0">SUM(D6:T6)</f>
        <v>2170739.0700000003</v>
      </c>
      <c r="D6" s="10">
        <f>SUM(D7:D18)</f>
        <v>72895.59</v>
      </c>
      <c r="E6" s="10">
        <f t="shared" ref="E6:T6" si="1">SUM(E7:E18)</f>
        <v>409222.32000000007</v>
      </c>
      <c r="F6" s="10">
        <f t="shared" si="1"/>
        <v>83119.17</v>
      </c>
      <c r="G6" s="10">
        <f t="shared" si="1"/>
        <v>18943.3</v>
      </c>
      <c r="H6" s="10">
        <f t="shared" si="1"/>
        <v>0</v>
      </c>
      <c r="I6" s="10">
        <f t="shared" si="1"/>
        <v>0</v>
      </c>
      <c r="J6" s="10">
        <f t="shared" si="1"/>
        <v>4016.98</v>
      </c>
      <c r="K6" s="10">
        <f t="shared" si="1"/>
        <v>0</v>
      </c>
      <c r="L6" s="10">
        <f t="shared" si="1"/>
        <v>3278.6800000000003</v>
      </c>
      <c r="M6" s="10">
        <f t="shared" si="1"/>
        <v>12668.349999999999</v>
      </c>
      <c r="N6" s="10">
        <f t="shared" si="1"/>
        <v>858243.22000000009</v>
      </c>
      <c r="O6" s="10">
        <f t="shared" si="1"/>
        <v>201964.22</v>
      </c>
      <c r="P6" s="10">
        <f t="shared" si="1"/>
        <v>165840.53999999998</v>
      </c>
      <c r="Q6" s="10">
        <f t="shared" si="1"/>
        <v>0</v>
      </c>
      <c r="R6" s="10">
        <f t="shared" si="1"/>
        <v>0</v>
      </c>
      <c r="S6" s="10">
        <f t="shared" si="1"/>
        <v>340546.7</v>
      </c>
      <c r="T6" s="10">
        <f t="shared" si="1"/>
        <v>0</v>
      </c>
    </row>
    <row r="7" spans="1:20" s="7" customFormat="1" ht="18.75" x14ac:dyDescent="0.3">
      <c r="A7" s="4"/>
      <c r="B7" s="12">
        <v>43101</v>
      </c>
      <c r="C7" s="6">
        <f t="shared" si="0"/>
        <v>242777.23999999996</v>
      </c>
      <c r="D7" s="6">
        <v>6052.2</v>
      </c>
      <c r="E7" s="6">
        <f>34225.22-4091.28</f>
        <v>30133.940000000002</v>
      </c>
      <c r="F7" s="6">
        <v>6899.46</v>
      </c>
      <c r="G7" s="6">
        <v>1573.62</v>
      </c>
      <c r="H7" s="6"/>
      <c r="I7" s="6"/>
      <c r="J7" s="6">
        <v>324.77999999999997</v>
      </c>
      <c r="K7" s="6"/>
      <c r="L7" s="6">
        <v>266.67</v>
      </c>
      <c r="M7" s="6">
        <v>1026.28</v>
      </c>
      <c r="N7" s="6">
        <v>134243.21</v>
      </c>
      <c r="O7" s="6">
        <v>16933.77</v>
      </c>
      <c r="P7" s="6">
        <v>13905.24</v>
      </c>
      <c r="Q7" s="6"/>
      <c r="R7" s="6"/>
      <c r="S7" s="6">
        <v>31418.07</v>
      </c>
      <c r="T7" s="6"/>
    </row>
    <row r="8" spans="1:20" s="7" customFormat="1" ht="18.75" x14ac:dyDescent="0.3">
      <c r="A8" s="4"/>
      <c r="B8" s="12">
        <v>43132</v>
      </c>
      <c r="C8" s="6">
        <f t="shared" si="0"/>
        <v>266565.15999999997</v>
      </c>
      <c r="D8" s="6">
        <v>6052.2</v>
      </c>
      <c r="E8" s="6">
        <v>34225.22</v>
      </c>
      <c r="F8" s="6">
        <v>6899.46</v>
      </c>
      <c r="G8" s="6">
        <v>1573.62</v>
      </c>
      <c r="H8" s="6"/>
      <c r="I8" s="6"/>
      <c r="J8" s="6">
        <v>324.77999999999997</v>
      </c>
      <c r="K8" s="6"/>
      <c r="L8" s="6">
        <v>266.67</v>
      </c>
      <c r="M8" s="6">
        <v>1026.28</v>
      </c>
      <c r="N8" s="6">
        <v>163897.49</v>
      </c>
      <c r="O8" s="6">
        <v>13098.28</v>
      </c>
      <c r="P8" s="6">
        <v>10755.72</v>
      </c>
      <c r="Q8" s="6"/>
      <c r="R8" s="6"/>
      <c r="S8" s="6">
        <v>28445.439999999999</v>
      </c>
      <c r="T8" s="6"/>
    </row>
    <row r="9" spans="1:20" s="7" customFormat="1" ht="18.75" x14ac:dyDescent="0.3">
      <c r="A9" s="4"/>
      <c r="B9" s="12">
        <v>43160</v>
      </c>
      <c r="C9" s="6">
        <f t="shared" si="0"/>
        <v>257733.81999999998</v>
      </c>
      <c r="D9" s="6">
        <v>6053.05</v>
      </c>
      <c r="E9" s="6">
        <v>34230.019999999997</v>
      </c>
      <c r="F9" s="6">
        <v>6900.41</v>
      </c>
      <c r="G9" s="6">
        <v>1573.82</v>
      </c>
      <c r="H9" s="6"/>
      <c r="I9" s="6"/>
      <c r="J9" s="6">
        <v>324.83</v>
      </c>
      <c r="K9" s="6"/>
      <c r="L9" s="6">
        <v>266.68</v>
      </c>
      <c r="M9" s="6">
        <v>1026.43</v>
      </c>
      <c r="N9" s="6">
        <v>144018.22</v>
      </c>
      <c r="O9" s="6">
        <v>18257.900000000001</v>
      </c>
      <c r="P9" s="6">
        <v>14992.52</v>
      </c>
      <c r="Q9" s="6"/>
      <c r="R9" s="6"/>
      <c r="S9" s="6">
        <v>30089.94</v>
      </c>
      <c r="T9" s="6"/>
    </row>
    <row r="10" spans="1:20" s="7" customFormat="1" ht="18.75" x14ac:dyDescent="0.3">
      <c r="A10" s="4"/>
      <c r="B10" s="12">
        <v>43191</v>
      </c>
      <c r="C10" s="6">
        <f t="shared" si="0"/>
        <v>197336.01</v>
      </c>
      <c r="D10" s="6">
        <v>6143.68</v>
      </c>
      <c r="E10" s="6">
        <f>35718.34+47.98+43.05+22.26</f>
        <v>35831.630000000005</v>
      </c>
      <c r="F10" s="6">
        <v>7022.57</v>
      </c>
      <c r="G10" s="6">
        <v>1587.24</v>
      </c>
      <c r="H10" s="6"/>
      <c r="I10" s="6"/>
      <c r="J10" s="6">
        <v>350.98</v>
      </c>
      <c r="K10" s="6"/>
      <c r="L10" s="6">
        <v>269</v>
      </c>
      <c r="M10" s="6">
        <v>1047.4100000000001</v>
      </c>
      <c r="N10" s="6">
        <f>1016.73+93620.05</f>
        <v>94636.78</v>
      </c>
      <c r="O10" s="6">
        <f>370.76+15424.12</f>
        <v>15794.880000000001</v>
      </c>
      <c r="P10" s="6">
        <f>302.47+12665.57</f>
        <v>12968.039999999999</v>
      </c>
      <c r="Q10" s="6"/>
      <c r="R10" s="6"/>
      <c r="S10" s="6">
        <f>409.52+21274.28</f>
        <v>21683.8</v>
      </c>
      <c r="T10" s="6"/>
    </row>
    <row r="11" spans="1:20" s="7" customFormat="1" ht="18.75" x14ac:dyDescent="0.3">
      <c r="A11" s="4"/>
      <c r="B11" s="12">
        <v>43221</v>
      </c>
      <c r="C11" s="6">
        <f t="shared" si="0"/>
        <v>107889.01999999999</v>
      </c>
      <c r="D11" s="6">
        <v>6064.89</v>
      </c>
      <c r="E11" s="6">
        <v>34296.99</v>
      </c>
      <c r="F11" s="6">
        <v>6913.92</v>
      </c>
      <c r="G11" s="6">
        <v>1576.97</v>
      </c>
      <c r="H11" s="6"/>
      <c r="I11" s="6"/>
      <c r="J11" s="6">
        <v>325.45</v>
      </c>
      <c r="K11" s="6"/>
      <c r="L11" s="6">
        <v>267.20999999999998</v>
      </c>
      <c r="M11" s="6">
        <v>1028.47</v>
      </c>
      <c r="N11" s="6">
        <v>317.88</v>
      </c>
      <c r="O11" s="6">
        <f>54.83+16514.61</f>
        <v>16569.440000000002</v>
      </c>
      <c r="P11" s="6">
        <f>45.04+13561.02</f>
        <v>13606.060000000001</v>
      </c>
      <c r="Q11" s="6"/>
      <c r="R11" s="6"/>
      <c r="S11" s="6">
        <f>72.51+26849.23</f>
        <v>26921.739999999998</v>
      </c>
      <c r="T11" s="6"/>
    </row>
    <row r="12" spans="1:20" s="7" customFormat="1" ht="18.75" x14ac:dyDescent="0.3">
      <c r="A12" s="4"/>
      <c r="B12" s="12">
        <v>43252</v>
      </c>
      <c r="C12" s="6">
        <f t="shared" si="0"/>
        <v>106864.21999999997</v>
      </c>
      <c r="D12" s="6">
        <v>6056.09</v>
      </c>
      <c r="E12" s="6">
        <v>34247.11</v>
      </c>
      <c r="F12" s="6">
        <v>6903.88</v>
      </c>
      <c r="G12" s="6">
        <v>1574.64</v>
      </c>
      <c r="H12" s="6"/>
      <c r="I12" s="6"/>
      <c r="J12" s="6">
        <v>324.98</v>
      </c>
      <c r="K12" s="6"/>
      <c r="L12" s="6">
        <v>266.83999999999997</v>
      </c>
      <c r="M12" s="6">
        <v>1026.95</v>
      </c>
      <c r="N12" s="6">
        <v>0.17</v>
      </c>
      <c r="O12" s="6">
        <f>0.2+16533.59</f>
        <v>16533.79</v>
      </c>
      <c r="P12" s="6">
        <f>0.16+13576.63</f>
        <v>13576.789999999999</v>
      </c>
      <c r="Q12" s="6"/>
      <c r="R12" s="6"/>
      <c r="S12" s="6">
        <v>26352.98</v>
      </c>
      <c r="T12" s="6"/>
    </row>
    <row r="13" spans="1:20" s="7" customFormat="1" ht="18.75" x14ac:dyDescent="0.3">
      <c r="A13" s="4"/>
      <c r="B13" s="12">
        <v>43282</v>
      </c>
      <c r="C13" s="6">
        <f t="shared" si="0"/>
        <v>108447.06999999999</v>
      </c>
      <c r="D13" s="6">
        <v>6054.01</v>
      </c>
      <c r="E13" s="6">
        <v>34235.449999999997</v>
      </c>
      <c r="F13" s="6">
        <v>6901.52</v>
      </c>
      <c r="G13" s="6">
        <v>1574.09</v>
      </c>
      <c r="H13" s="6"/>
      <c r="I13" s="6"/>
      <c r="J13" s="6">
        <v>338.85</v>
      </c>
      <c r="K13" s="6"/>
      <c r="L13" s="6">
        <v>278.16000000000003</v>
      </c>
      <c r="M13" s="6">
        <v>1076.83</v>
      </c>
      <c r="N13" s="6"/>
      <c r="O13" s="6">
        <v>17529.349999999999</v>
      </c>
      <c r="P13" s="6">
        <v>14394.09</v>
      </c>
      <c r="Q13" s="6"/>
      <c r="R13" s="6"/>
      <c r="S13" s="6">
        <v>26064.720000000001</v>
      </c>
      <c r="T13" s="6"/>
    </row>
    <row r="14" spans="1:20" s="7" customFormat="1" ht="18.75" x14ac:dyDescent="0.3">
      <c r="A14" s="4"/>
      <c r="B14" s="12">
        <v>43313</v>
      </c>
      <c r="C14" s="6">
        <f t="shared" si="0"/>
        <v>110538.65</v>
      </c>
      <c r="D14" s="6">
        <v>6052.54</v>
      </c>
      <c r="E14" s="6">
        <v>34227.14</v>
      </c>
      <c r="F14" s="6">
        <v>6899.85</v>
      </c>
      <c r="G14" s="6">
        <v>1573.71</v>
      </c>
      <c r="H14" s="6"/>
      <c r="I14" s="6"/>
      <c r="J14" s="6">
        <v>338.77</v>
      </c>
      <c r="K14" s="6"/>
      <c r="L14" s="6">
        <v>278.08999999999997</v>
      </c>
      <c r="M14" s="6">
        <v>1076.58</v>
      </c>
      <c r="N14" s="6"/>
      <c r="O14" s="6">
        <v>17971.77</v>
      </c>
      <c r="P14" s="6">
        <v>14757.38</v>
      </c>
      <c r="Q14" s="6"/>
      <c r="R14" s="6"/>
      <c r="S14" s="6">
        <v>27362.82</v>
      </c>
      <c r="T14" s="6"/>
    </row>
    <row r="15" spans="1:20" s="7" customFormat="1" ht="18.75" x14ac:dyDescent="0.3">
      <c r="A15" s="4"/>
      <c r="B15" s="12">
        <v>43344</v>
      </c>
      <c r="C15" s="6">
        <f t="shared" si="0"/>
        <v>114516.26000000001</v>
      </c>
      <c r="D15" s="6">
        <v>6053.26</v>
      </c>
      <c r="E15" s="6">
        <v>34231.279999999999</v>
      </c>
      <c r="F15" s="6">
        <v>6900.7</v>
      </c>
      <c r="G15" s="6">
        <v>1573.9</v>
      </c>
      <c r="H15" s="6"/>
      <c r="I15" s="6"/>
      <c r="J15" s="6">
        <v>338.81</v>
      </c>
      <c r="K15" s="6"/>
      <c r="L15" s="6">
        <v>278.14</v>
      </c>
      <c r="M15" s="6">
        <v>1076.69</v>
      </c>
      <c r="N15" s="6"/>
      <c r="O15" s="6">
        <v>17911.79</v>
      </c>
      <c r="P15" s="6">
        <v>14708.15</v>
      </c>
      <c r="Q15" s="6"/>
      <c r="R15" s="6"/>
      <c r="S15" s="6">
        <v>31443.54</v>
      </c>
      <c r="T15" s="6"/>
    </row>
    <row r="16" spans="1:20" s="7" customFormat="1" ht="18.75" x14ac:dyDescent="0.3">
      <c r="A16" s="4"/>
      <c r="B16" s="12">
        <v>43374</v>
      </c>
      <c r="C16" s="6">
        <f t="shared" si="0"/>
        <v>168779.96</v>
      </c>
      <c r="D16" s="6">
        <v>6097.32</v>
      </c>
      <c r="E16" s="6">
        <v>34480.32</v>
      </c>
      <c r="F16" s="6">
        <v>6950.89</v>
      </c>
      <c r="G16" s="6">
        <v>1585.35</v>
      </c>
      <c r="H16" s="6"/>
      <c r="I16" s="6"/>
      <c r="J16" s="6">
        <v>341.18</v>
      </c>
      <c r="K16" s="6"/>
      <c r="L16" s="6">
        <v>280.08</v>
      </c>
      <c r="M16" s="6">
        <v>1084.1400000000001</v>
      </c>
      <c r="N16" s="6">
        <v>61827.67</v>
      </c>
      <c r="O16" s="6">
        <v>16681.669999999998</v>
      </c>
      <c r="P16" s="6">
        <v>13698.05</v>
      </c>
      <c r="Q16" s="6"/>
      <c r="R16" s="6"/>
      <c r="S16" s="6">
        <v>25753.29</v>
      </c>
      <c r="T16" s="6"/>
    </row>
    <row r="17" spans="1:20" s="7" customFormat="1" ht="18.75" x14ac:dyDescent="0.3">
      <c r="A17" s="4"/>
      <c r="B17" s="12">
        <v>43405</v>
      </c>
      <c r="C17" s="6">
        <f t="shared" si="0"/>
        <v>226629.16999999998</v>
      </c>
      <c r="D17" s="6">
        <v>6102.48</v>
      </c>
      <c r="E17" s="6">
        <v>34509.39</v>
      </c>
      <c r="F17" s="6">
        <v>6956.76</v>
      </c>
      <c r="G17" s="6">
        <v>1586.69</v>
      </c>
      <c r="H17" s="6"/>
      <c r="I17" s="6"/>
      <c r="J17" s="6">
        <v>341.48</v>
      </c>
      <c r="K17" s="6"/>
      <c r="L17" s="6">
        <v>280.32</v>
      </c>
      <c r="M17" s="6">
        <v>1085.1400000000001</v>
      </c>
      <c r="N17" s="6">
        <v>112921.43</v>
      </c>
      <c r="O17" s="6">
        <v>17051.55</v>
      </c>
      <c r="P17" s="6">
        <v>14001.74</v>
      </c>
      <c r="Q17" s="6"/>
      <c r="R17" s="6"/>
      <c r="S17" s="6">
        <v>31792.19</v>
      </c>
      <c r="T17" s="6"/>
    </row>
    <row r="18" spans="1:20" s="7" customFormat="1" ht="18.75" x14ac:dyDescent="0.3">
      <c r="A18" s="4"/>
      <c r="B18" s="12">
        <v>43435</v>
      </c>
      <c r="C18" s="6">
        <f t="shared" si="0"/>
        <v>262662.49</v>
      </c>
      <c r="D18" s="6">
        <v>6113.87</v>
      </c>
      <c r="E18" s="6">
        <v>34573.83</v>
      </c>
      <c r="F18" s="6">
        <v>6969.75</v>
      </c>
      <c r="G18" s="6">
        <v>1589.65</v>
      </c>
      <c r="H18" s="6"/>
      <c r="I18" s="6"/>
      <c r="J18" s="6">
        <v>342.09</v>
      </c>
      <c r="K18" s="6"/>
      <c r="L18" s="6">
        <v>280.82</v>
      </c>
      <c r="M18" s="6">
        <v>1087.1500000000001</v>
      </c>
      <c r="N18" s="6">
        <v>146380.37</v>
      </c>
      <c r="O18" s="6">
        <v>17630.03</v>
      </c>
      <c r="P18" s="6">
        <v>14476.76</v>
      </c>
      <c r="Q18" s="6"/>
      <c r="R18" s="6"/>
      <c r="S18" s="6">
        <v>33218.17</v>
      </c>
      <c r="T18" s="6"/>
    </row>
    <row r="19" spans="1:20" s="7" customFormat="1" ht="28.5" customHeight="1" x14ac:dyDescent="0.3">
      <c r="A19" s="13">
        <v>3</v>
      </c>
      <c r="B19" s="14" t="s">
        <v>23</v>
      </c>
      <c r="C19" s="15">
        <f t="shared" si="0"/>
        <v>1979022.54</v>
      </c>
      <c r="D19" s="15">
        <f t="shared" ref="D19:T19" si="2">SUM(D20:D31)</f>
        <v>67932.599999999991</v>
      </c>
      <c r="E19" s="15">
        <f t="shared" si="2"/>
        <v>398900.79000000004</v>
      </c>
      <c r="F19" s="15">
        <f t="shared" si="2"/>
        <v>77579.51999999999</v>
      </c>
      <c r="G19" s="15">
        <f t="shared" si="2"/>
        <v>16661.93</v>
      </c>
      <c r="H19" s="15">
        <f t="shared" si="2"/>
        <v>0</v>
      </c>
      <c r="I19" s="15">
        <f t="shared" si="2"/>
        <v>0</v>
      </c>
      <c r="J19" s="15">
        <f t="shared" si="2"/>
        <v>4031.1400000000003</v>
      </c>
      <c r="K19" s="15">
        <f t="shared" si="2"/>
        <v>0</v>
      </c>
      <c r="L19" s="15">
        <f t="shared" si="2"/>
        <v>3011.7300000000005</v>
      </c>
      <c r="M19" s="15">
        <f t="shared" si="2"/>
        <v>10866.3</v>
      </c>
      <c r="N19" s="15">
        <f t="shared" si="2"/>
        <v>767327.38</v>
      </c>
      <c r="O19" s="15">
        <f t="shared" si="2"/>
        <v>170356.79</v>
      </c>
      <c r="P19" s="15">
        <f t="shared" si="2"/>
        <v>139786.73000000001</v>
      </c>
      <c r="Q19" s="15">
        <f t="shared" si="2"/>
        <v>0</v>
      </c>
      <c r="R19" s="15">
        <f t="shared" si="2"/>
        <v>0</v>
      </c>
      <c r="S19" s="15">
        <f t="shared" si="2"/>
        <v>322567.62999999995</v>
      </c>
      <c r="T19" s="15">
        <f t="shared" si="2"/>
        <v>0</v>
      </c>
    </row>
    <row r="20" spans="1:20" s="7" customFormat="1" ht="18.75" x14ac:dyDescent="0.3">
      <c r="A20" s="4"/>
      <c r="B20" s="12">
        <v>43101</v>
      </c>
      <c r="C20" s="6">
        <f t="shared" si="0"/>
        <v>195251.51</v>
      </c>
      <c r="D20" s="6">
        <v>5456.34</v>
      </c>
      <c r="E20" s="6">
        <f>30478.71+462.2+89.92</f>
        <v>31030.829999999998</v>
      </c>
      <c r="F20" s="6">
        <v>6219.77</v>
      </c>
      <c r="G20" s="6">
        <v>670.4</v>
      </c>
      <c r="H20" s="6"/>
      <c r="I20" s="6"/>
      <c r="J20" s="6">
        <v>292.58</v>
      </c>
      <c r="K20" s="6"/>
      <c r="L20" s="6">
        <v>240.27</v>
      </c>
      <c r="M20" s="6">
        <v>77.75</v>
      </c>
      <c r="N20" s="6">
        <v>100732.16</v>
      </c>
      <c r="O20" s="6">
        <v>13061.36</v>
      </c>
      <c r="P20" s="6">
        <v>10745.03</v>
      </c>
      <c r="Q20" s="6"/>
      <c r="R20" s="6"/>
      <c r="S20" s="6">
        <v>26725.02</v>
      </c>
      <c r="T20" s="6"/>
    </row>
    <row r="21" spans="1:20" s="7" customFormat="1" ht="18.75" x14ac:dyDescent="0.3">
      <c r="A21" s="4"/>
      <c r="B21" s="12">
        <v>43132</v>
      </c>
      <c r="C21" s="6">
        <f t="shared" si="0"/>
        <v>199507.57</v>
      </c>
      <c r="D21" s="6">
        <v>5134.1000000000004</v>
      </c>
      <c r="E21" s="6">
        <f>29050.94+88.72+112.05</f>
        <v>29251.71</v>
      </c>
      <c r="F21" s="6">
        <v>5851.6</v>
      </c>
      <c r="G21" s="6">
        <v>1135.1600000000001</v>
      </c>
      <c r="H21" s="6"/>
      <c r="I21" s="6"/>
      <c r="J21" s="6">
        <v>275.63</v>
      </c>
      <c r="K21" s="6"/>
      <c r="L21" s="6">
        <v>226.48</v>
      </c>
      <c r="M21" s="6">
        <v>646.09</v>
      </c>
      <c r="N21" s="6">
        <v>108606.71</v>
      </c>
      <c r="O21" s="6">
        <v>12205.82</v>
      </c>
      <c r="P21" s="6">
        <v>10339.19</v>
      </c>
      <c r="Q21" s="6"/>
      <c r="R21" s="6"/>
      <c r="S21" s="6">
        <v>25835.08</v>
      </c>
      <c r="T21" s="6"/>
    </row>
    <row r="22" spans="1:20" s="7" customFormat="1" ht="18.75" x14ac:dyDescent="0.3">
      <c r="A22" s="4"/>
      <c r="B22" s="12">
        <v>43160</v>
      </c>
      <c r="C22" s="6">
        <f t="shared" si="0"/>
        <v>241628.08</v>
      </c>
      <c r="D22" s="6">
        <v>5508.72</v>
      </c>
      <c r="E22" s="6">
        <f>31350.38+10.27</f>
        <v>31360.65</v>
      </c>
      <c r="F22" s="6">
        <v>6279.66</v>
      </c>
      <c r="G22" s="6">
        <v>1391.26</v>
      </c>
      <c r="H22" s="6"/>
      <c r="I22" s="6"/>
      <c r="J22" s="6">
        <v>295.33</v>
      </c>
      <c r="K22" s="6"/>
      <c r="L22" s="6">
        <v>242.41</v>
      </c>
      <c r="M22" s="6">
        <v>890.1</v>
      </c>
      <c r="N22" s="6">
        <v>140757.35999999999</v>
      </c>
      <c r="O22" s="6">
        <v>13216.81</v>
      </c>
      <c r="P22" s="6">
        <v>10853</v>
      </c>
      <c r="Q22" s="6"/>
      <c r="R22" s="6"/>
      <c r="S22" s="6">
        <v>30832.78</v>
      </c>
      <c r="T22" s="6"/>
    </row>
    <row r="23" spans="1:20" s="7" customFormat="1" ht="18.75" x14ac:dyDescent="0.3">
      <c r="A23" s="4"/>
      <c r="B23" s="12">
        <v>43191</v>
      </c>
      <c r="C23" s="6">
        <f t="shared" si="0"/>
        <v>255655.16</v>
      </c>
      <c r="D23" s="6">
        <f>7245.75-520.35</f>
        <v>6725.4</v>
      </c>
      <c r="E23" s="6">
        <f>48423.87+308.89+336.64-257.25-4118.51</f>
        <v>44693.64</v>
      </c>
      <c r="F23" s="6">
        <f>8377.15-746.82</f>
        <v>7630.33</v>
      </c>
      <c r="G23" s="6">
        <f>-104.04+1803.36</f>
        <v>1699.32</v>
      </c>
      <c r="H23" s="6"/>
      <c r="I23" s="6"/>
      <c r="J23" s="6">
        <f>-41.43+516.11</f>
        <v>474.68</v>
      </c>
      <c r="K23" s="6"/>
      <c r="L23" s="6">
        <f>-30.7+310.71</f>
        <v>280.01</v>
      </c>
      <c r="M23" s="6">
        <f>1299.74-30.09</f>
        <v>1269.6500000000001</v>
      </c>
      <c r="N23" s="6">
        <f>158592.43+5169.69</f>
        <v>163762.12</v>
      </c>
      <c r="O23" s="6">
        <f>4633.74-78.72</f>
        <v>4555.0199999999995</v>
      </c>
      <c r="P23" s="6">
        <f>-89.15+3648.63</f>
        <v>3559.48</v>
      </c>
      <c r="Q23" s="6"/>
      <c r="R23" s="6"/>
      <c r="S23" s="6">
        <f>20415.39+590.12</f>
        <v>21005.51</v>
      </c>
      <c r="T23" s="6"/>
    </row>
    <row r="24" spans="1:20" s="7" customFormat="1" ht="18.75" x14ac:dyDescent="0.3">
      <c r="A24" s="4"/>
      <c r="B24" s="12">
        <v>43221</v>
      </c>
      <c r="C24" s="6">
        <f t="shared" si="0"/>
        <v>186642.39</v>
      </c>
      <c r="D24" s="6">
        <v>5388.43</v>
      </c>
      <c r="E24" s="6">
        <f>29265.75+271.34+140.32+160.95+18.33</f>
        <v>29856.690000000002</v>
      </c>
      <c r="F24" s="6">
        <v>6191.45</v>
      </c>
      <c r="G24" s="6">
        <v>1438.35</v>
      </c>
      <c r="H24" s="6"/>
      <c r="I24" s="6"/>
      <c r="J24" s="6">
        <v>409.18</v>
      </c>
      <c r="K24" s="6"/>
      <c r="L24" s="6">
        <v>226.68</v>
      </c>
      <c r="M24" s="6">
        <v>1005.29</v>
      </c>
      <c r="N24" s="6">
        <f>4253.9+80376.23</f>
        <v>84630.12999999999</v>
      </c>
      <c r="O24" s="6">
        <f>479.32+15567.22</f>
        <v>16046.539999999999</v>
      </c>
      <c r="P24" s="6">
        <f>61.34+12785.33</f>
        <v>12846.67</v>
      </c>
      <c r="Q24" s="6"/>
      <c r="R24" s="6"/>
      <c r="S24" s="6">
        <f>990.88+27612.1</f>
        <v>28602.98</v>
      </c>
      <c r="T24" s="6"/>
    </row>
    <row r="25" spans="1:20" s="7" customFormat="1" ht="18.75" x14ac:dyDescent="0.3">
      <c r="A25" s="4"/>
      <c r="B25" s="12">
        <v>43252</v>
      </c>
      <c r="C25" s="6">
        <f t="shared" si="0"/>
        <v>155472.55000000002</v>
      </c>
      <c r="D25" s="6">
        <v>5581.77</v>
      </c>
      <c r="E25" s="6">
        <f>33266.29+60.36+95.26+243.45+532.33</f>
        <v>34197.69</v>
      </c>
      <c r="F25" s="6">
        <v>6376.72</v>
      </c>
      <c r="G25" s="6">
        <v>1439.42</v>
      </c>
      <c r="H25" s="6"/>
      <c r="I25" s="6"/>
      <c r="J25" s="6">
        <v>326.64</v>
      </c>
      <c r="K25" s="6"/>
      <c r="L25" s="6">
        <v>244.05</v>
      </c>
      <c r="M25" s="6">
        <v>953.58</v>
      </c>
      <c r="N25" s="6">
        <f>4612.43+25253.85</f>
        <v>29866.28</v>
      </c>
      <c r="O25" s="6">
        <f>175.41+24416.67</f>
        <v>24592.079999999998</v>
      </c>
      <c r="P25" s="6">
        <f>59.93+19665.58+0.01</f>
        <v>19725.52</v>
      </c>
      <c r="Q25" s="6"/>
      <c r="R25" s="6"/>
      <c r="S25" s="6">
        <f>555.46+31613.34</f>
        <v>32168.799999999999</v>
      </c>
      <c r="T25" s="6"/>
    </row>
    <row r="26" spans="1:20" s="7" customFormat="1" ht="18.75" x14ac:dyDescent="0.3">
      <c r="A26" s="4"/>
      <c r="B26" s="12">
        <v>43282</v>
      </c>
      <c r="C26" s="6">
        <f t="shared" si="0"/>
        <v>120569.11</v>
      </c>
      <c r="D26" s="6">
        <f>6656.21-1.1</f>
        <v>6655.11</v>
      </c>
      <c r="E26" s="6">
        <f>38796.12+31.46+15.7+306.85+145.6</f>
        <v>39295.729999999996</v>
      </c>
      <c r="F26" s="6">
        <v>7599.25</v>
      </c>
      <c r="G26" s="6">
        <f>1733.73+5.68</f>
        <v>1739.41</v>
      </c>
      <c r="H26" s="6"/>
      <c r="I26" s="6"/>
      <c r="J26" s="6">
        <f>371.82+0.35</f>
        <v>372.17</v>
      </c>
      <c r="K26" s="6"/>
      <c r="L26" s="6">
        <v>292.26</v>
      </c>
      <c r="M26" s="6">
        <v>1138.01</v>
      </c>
      <c r="N26" s="6">
        <f>-285.98+3764.21</f>
        <v>3478.23</v>
      </c>
      <c r="O26" s="6">
        <f>28.04+17201.36</f>
        <v>17229.400000000001</v>
      </c>
      <c r="P26" s="6">
        <f>23.05+14295.52+0.19</f>
        <v>14318.76</v>
      </c>
      <c r="Q26" s="6"/>
      <c r="R26" s="6"/>
      <c r="S26" s="6">
        <f>3.56+28447.22</f>
        <v>28450.780000000002</v>
      </c>
      <c r="T26" s="6"/>
    </row>
    <row r="27" spans="1:20" s="7" customFormat="1" ht="18.75" x14ac:dyDescent="0.3">
      <c r="A27" s="4"/>
      <c r="B27" s="12">
        <v>43313</v>
      </c>
      <c r="C27" s="6">
        <f t="shared" si="0"/>
        <v>91780.22</v>
      </c>
      <c r="D27" s="6">
        <f>5676.05-52.67</f>
        <v>5623.38</v>
      </c>
      <c r="E27" s="6">
        <f>31886.88-104</f>
        <v>31782.880000000001</v>
      </c>
      <c r="F27" s="6">
        <v>6464.38</v>
      </c>
      <c r="G27" s="6">
        <v>1494.34</v>
      </c>
      <c r="H27" s="6"/>
      <c r="I27" s="6"/>
      <c r="J27" s="6">
        <v>314.61</v>
      </c>
      <c r="K27" s="6"/>
      <c r="L27" s="6">
        <v>258.2</v>
      </c>
      <c r="M27" s="6">
        <v>996.75</v>
      </c>
      <c r="N27" s="6">
        <f>-57.91-150.96</f>
        <v>-208.87</v>
      </c>
      <c r="O27" s="6">
        <f>-404.69+12700.51</f>
        <v>12295.82</v>
      </c>
      <c r="P27" s="6">
        <f>10461.19-0.15</f>
        <v>10461.040000000001</v>
      </c>
      <c r="Q27" s="6"/>
      <c r="R27" s="6"/>
      <c r="S27" s="6">
        <f>-322.06+22619.75</f>
        <v>22297.69</v>
      </c>
      <c r="T27" s="6"/>
    </row>
    <row r="28" spans="1:20" s="7" customFormat="1" ht="18.75" x14ac:dyDescent="0.3">
      <c r="A28" s="4"/>
      <c r="B28" s="12">
        <v>43344</v>
      </c>
      <c r="C28" s="6">
        <f t="shared" si="0"/>
        <v>104671.63</v>
      </c>
      <c r="D28" s="6">
        <v>5575.83</v>
      </c>
      <c r="E28" s="6">
        <f>33070.98+59.95+28.68+31.17</f>
        <v>33190.78</v>
      </c>
      <c r="F28" s="6">
        <v>6377.08</v>
      </c>
      <c r="G28" s="6">
        <v>1443.73</v>
      </c>
      <c r="H28" s="6"/>
      <c r="I28" s="6"/>
      <c r="J28" s="6">
        <v>336.99</v>
      </c>
      <c r="K28" s="6"/>
      <c r="L28" s="6">
        <v>251.83</v>
      </c>
      <c r="M28" s="6">
        <v>990.37</v>
      </c>
      <c r="N28" s="6">
        <f>494.51+547.53</f>
        <v>1042.04</v>
      </c>
      <c r="O28" s="6">
        <v>15335.02</v>
      </c>
      <c r="P28" s="6">
        <f>31.17+12592.78</f>
        <v>12623.95</v>
      </c>
      <c r="Q28" s="6"/>
      <c r="R28" s="6"/>
      <c r="S28" s="6">
        <f>-288.03+27792.04</f>
        <v>27504.010000000002</v>
      </c>
      <c r="T28" s="6"/>
    </row>
    <row r="29" spans="1:20" s="7" customFormat="1" ht="18.75" x14ac:dyDescent="0.3">
      <c r="A29" s="4"/>
      <c r="B29" s="12">
        <v>43374</v>
      </c>
      <c r="C29" s="6">
        <f t="shared" si="0"/>
        <v>98193.25</v>
      </c>
      <c r="D29" s="6">
        <f>5384.5-26.14</f>
        <v>5358.36</v>
      </c>
      <c r="E29" s="6">
        <f>31541.45+40.22+17.6-117.85+2.46-202.85</f>
        <v>31281.030000000002</v>
      </c>
      <c r="F29" s="6">
        <f>6155.86-20.44</f>
        <v>6135.42</v>
      </c>
      <c r="G29" s="6">
        <v>1382.25</v>
      </c>
      <c r="H29" s="6"/>
      <c r="I29" s="6"/>
      <c r="J29" s="6">
        <v>318.83</v>
      </c>
      <c r="K29" s="6"/>
      <c r="L29" s="6">
        <v>245.29</v>
      </c>
      <c r="M29" s="6">
        <v>951.96</v>
      </c>
      <c r="N29" s="6">
        <v>7326.51</v>
      </c>
      <c r="O29" s="6">
        <v>12383.66</v>
      </c>
      <c r="P29" s="6">
        <f>10117.28-31.22</f>
        <v>10086.060000000001</v>
      </c>
      <c r="Q29" s="6"/>
      <c r="R29" s="6"/>
      <c r="S29" s="6">
        <v>22723.88</v>
      </c>
      <c r="T29" s="6"/>
    </row>
    <row r="30" spans="1:20" s="7" customFormat="1" ht="18.75" x14ac:dyDescent="0.3">
      <c r="A30" s="4"/>
      <c r="B30" s="12">
        <v>43405</v>
      </c>
      <c r="C30" s="6">
        <f t="shared" si="0"/>
        <v>147181.42000000001</v>
      </c>
      <c r="D30" s="6">
        <v>5559.98</v>
      </c>
      <c r="E30" s="6">
        <f>31533.51+0.42+0.18-10.04</f>
        <v>31524.069999999996</v>
      </c>
      <c r="F30" s="6">
        <v>6344.08</v>
      </c>
      <c r="G30" s="6">
        <v>1431.96</v>
      </c>
      <c r="H30" s="6"/>
      <c r="I30" s="6"/>
      <c r="J30" s="6">
        <v>309.62</v>
      </c>
      <c r="K30" s="6"/>
      <c r="L30" s="6">
        <v>253.99</v>
      </c>
      <c r="M30" s="6">
        <v>982.41</v>
      </c>
      <c r="N30" s="6">
        <f>24.07+45423.8</f>
        <v>45447.87</v>
      </c>
      <c r="O30" s="6">
        <f>0.2+13988.21</f>
        <v>13988.41</v>
      </c>
      <c r="P30" s="6">
        <f>0.16+11565.5</f>
        <v>11565.66</v>
      </c>
      <c r="Q30" s="6"/>
      <c r="R30" s="6"/>
      <c r="S30" s="6">
        <f>0.23+29773.14</f>
        <v>29773.37</v>
      </c>
      <c r="T30" s="6"/>
    </row>
    <row r="31" spans="1:20" s="7" customFormat="1" ht="19.5" thickBot="1" x14ac:dyDescent="0.35">
      <c r="A31" s="16"/>
      <c r="B31" s="17">
        <v>43435</v>
      </c>
      <c r="C31" s="18">
        <f t="shared" si="0"/>
        <v>182469.65</v>
      </c>
      <c r="D31" s="18">
        <f>5334.11+31.07</f>
        <v>5365.1799999999994</v>
      </c>
      <c r="E31" s="18">
        <f>29934.46+1133.78+366.85</f>
        <v>31435.089999999997</v>
      </c>
      <c r="F31" s="18">
        <f>6074.34+35.44</f>
        <v>6109.78</v>
      </c>
      <c r="G31" s="18">
        <f>1392.65+3.68</f>
        <v>1396.3300000000002</v>
      </c>
      <c r="H31" s="18"/>
      <c r="I31" s="18"/>
      <c r="J31" s="18">
        <f>303.18+1.7</f>
        <v>304.88</v>
      </c>
      <c r="K31" s="18"/>
      <c r="L31" s="18">
        <f>248.94+1.32</f>
        <v>250.26</v>
      </c>
      <c r="M31" s="18">
        <f>964.05+0.29</f>
        <v>964.33999999999992</v>
      </c>
      <c r="N31" s="18">
        <v>81886.84</v>
      </c>
      <c r="O31" s="18">
        <v>15446.85</v>
      </c>
      <c r="P31" s="18">
        <v>12662.37</v>
      </c>
      <c r="Q31" s="18"/>
      <c r="R31" s="18"/>
      <c r="S31" s="18">
        <v>26647.73</v>
      </c>
      <c r="T31" s="18"/>
    </row>
    <row r="32" spans="1:20" ht="35.25" thickBot="1" x14ac:dyDescent="0.35">
      <c r="A32" s="19">
        <v>4</v>
      </c>
      <c r="B32" s="20" t="s">
        <v>24</v>
      </c>
      <c r="C32" s="21">
        <f>C5+C6-C19</f>
        <v>659987.75</v>
      </c>
      <c r="D32" s="21">
        <f>D5+D6-D19</f>
        <v>4962.9900000000052</v>
      </c>
      <c r="E32" s="21">
        <f t="shared" ref="E32:T32" si="3">E5+E6-E19</f>
        <v>478592.75</v>
      </c>
      <c r="F32" s="21">
        <f t="shared" si="3"/>
        <v>5539.6500000000087</v>
      </c>
      <c r="G32" s="21">
        <f t="shared" si="3"/>
        <v>2281.369999999999</v>
      </c>
      <c r="H32" s="21">
        <f t="shared" si="3"/>
        <v>0</v>
      </c>
      <c r="I32" s="21">
        <f t="shared" si="3"/>
        <v>0</v>
      </c>
      <c r="J32" s="21">
        <f t="shared" si="3"/>
        <v>-14.160000000000309</v>
      </c>
      <c r="K32" s="21">
        <f t="shared" si="3"/>
        <v>0</v>
      </c>
      <c r="L32" s="21">
        <f t="shared" si="3"/>
        <v>266.94999999999982</v>
      </c>
      <c r="M32" s="21">
        <f t="shared" si="3"/>
        <v>1802.0499999999993</v>
      </c>
      <c r="N32" s="21">
        <f t="shared" si="3"/>
        <v>90915.840000000084</v>
      </c>
      <c r="O32" s="21">
        <f t="shared" si="3"/>
        <v>31607.429999999993</v>
      </c>
      <c r="P32" s="21">
        <f t="shared" si="3"/>
        <v>26053.809999999969</v>
      </c>
      <c r="Q32" s="21">
        <f t="shared" si="3"/>
        <v>0</v>
      </c>
      <c r="R32" s="21">
        <f t="shared" si="3"/>
        <v>0</v>
      </c>
      <c r="S32" s="21">
        <f t="shared" si="3"/>
        <v>17979.070000000065</v>
      </c>
      <c r="T32" s="22">
        <f t="shared" si="3"/>
        <v>0</v>
      </c>
    </row>
    <row r="33" spans="1:20" ht="17.25" x14ac:dyDescent="0.3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54" customFormat="1" ht="31.5" x14ac:dyDescent="0.5">
      <c r="A34" s="53" t="s">
        <v>79</v>
      </c>
      <c r="D34" s="55"/>
      <c r="E34" s="55"/>
      <c r="F34" s="55"/>
      <c r="G34" s="55"/>
      <c r="H34" s="55"/>
      <c r="I34" s="55"/>
      <c r="J34" s="55"/>
      <c r="K34" s="55"/>
      <c r="L34" s="55"/>
      <c r="M34" s="57" t="str">
        <f>J1</f>
        <v>г. Кохма, ул. Машиностроительная, д. 18</v>
      </c>
      <c r="N34" s="56"/>
      <c r="O34" s="55"/>
      <c r="P34" s="55"/>
      <c r="Q34" s="55"/>
      <c r="R34" s="55"/>
      <c r="S34" s="55"/>
      <c r="T34" s="56"/>
    </row>
    <row r="35" spans="1:20" ht="18.75" x14ac:dyDescent="0.3">
      <c r="A35" s="1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26"/>
      <c r="P35" s="26"/>
      <c r="Q35" s="26"/>
      <c r="R35" s="26"/>
      <c r="S35" s="26"/>
      <c r="T35" s="27"/>
    </row>
    <row r="36" spans="1:20" ht="62.25" customHeight="1" x14ac:dyDescent="0.25">
      <c r="A36" s="2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  <c r="Q36" s="2" t="s">
        <v>17</v>
      </c>
      <c r="R36" s="2" t="s">
        <v>18</v>
      </c>
      <c r="S36" s="2" t="s">
        <v>19</v>
      </c>
      <c r="T36" s="27"/>
    </row>
    <row r="37" spans="1:20" ht="31.5" customHeight="1" x14ac:dyDescent="0.3">
      <c r="A37" s="28"/>
      <c r="B37" s="29" t="s">
        <v>25</v>
      </c>
      <c r="C37" s="6">
        <f>SUM(D37:T37)</f>
        <v>-344652.89</v>
      </c>
      <c r="D37" s="6">
        <v>58526.86</v>
      </c>
      <c r="E37" s="6">
        <v>-403179.75</v>
      </c>
      <c r="F37" s="6"/>
      <c r="G37" s="6"/>
      <c r="H37" s="6"/>
      <c r="I37" s="6"/>
      <c r="J37" s="6"/>
      <c r="K37" s="6"/>
      <c r="L37" s="6"/>
      <c r="M37" s="30"/>
      <c r="N37" s="30"/>
      <c r="O37" s="6"/>
      <c r="P37" s="6"/>
      <c r="Q37" s="6"/>
      <c r="R37" s="6"/>
      <c r="S37" s="6"/>
      <c r="T37" s="30"/>
    </row>
    <row r="38" spans="1:20" ht="41.25" customHeight="1" x14ac:dyDescent="0.3">
      <c r="A38" s="58" t="s">
        <v>26</v>
      </c>
      <c r="B38" s="58"/>
      <c r="C38" s="31">
        <f>C6</f>
        <v>2170739.0700000003</v>
      </c>
      <c r="D38" s="31">
        <f t="shared" ref="D38:T38" si="4">D6</f>
        <v>72895.59</v>
      </c>
      <c r="E38" s="31">
        <f t="shared" si="4"/>
        <v>409222.32000000007</v>
      </c>
      <c r="F38" s="31">
        <f t="shared" si="4"/>
        <v>83119.17</v>
      </c>
      <c r="G38" s="31">
        <f t="shared" si="4"/>
        <v>18943.3</v>
      </c>
      <c r="H38" s="31">
        <f t="shared" si="4"/>
        <v>0</v>
      </c>
      <c r="I38" s="31">
        <f t="shared" si="4"/>
        <v>0</v>
      </c>
      <c r="J38" s="31">
        <f t="shared" si="4"/>
        <v>4016.98</v>
      </c>
      <c r="K38" s="31">
        <f t="shared" si="4"/>
        <v>0</v>
      </c>
      <c r="L38" s="31">
        <f t="shared" si="4"/>
        <v>3278.6800000000003</v>
      </c>
      <c r="M38" s="31">
        <f t="shared" si="4"/>
        <v>12668.349999999999</v>
      </c>
      <c r="N38" s="31">
        <f t="shared" si="4"/>
        <v>858243.22000000009</v>
      </c>
      <c r="O38" s="31">
        <f t="shared" si="4"/>
        <v>201964.22</v>
      </c>
      <c r="P38" s="31">
        <f t="shared" si="4"/>
        <v>165840.53999999998</v>
      </c>
      <c r="Q38" s="31">
        <f t="shared" si="4"/>
        <v>0</v>
      </c>
      <c r="R38" s="31">
        <f t="shared" si="4"/>
        <v>0</v>
      </c>
      <c r="S38" s="31">
        <f t="shared" si="4"/>
        <v>340546.7</v>
      </c>
      <c r="T38" s="31">
        <f t="shared" si="4"/>
        <v>0</v>
      </c>
    </row>
    <row r="39" spans="1:20" ht="29.25" customHeight="1" x14ac:dyDescent="0.3">
      <c r="A39" s="29">
        <v>5</v>
      </c>
      <c r="B39" s="29" t="s">
        <v>27</v>
      </c>
      <c r="C39" s="6">
        <f>SUM(D39:T39)</f>
        <v>2281714.1592999999</v>
      </c>
      <c r="D39" s="32">
        <f>D45</f>
        <v>90133.010000000009</v>
      </c>
      <c r="E39" s="32">
        <f>D49+D44</f>
        <v>451572.87930000003</v>
      </c>
      <c r="F39" s="32">
        <f>D89</f>
        <v>87243.12</v>
      </c>
      <c r="G39" s="32">
        <f>D97</f>
        <v>18897.84</v>
      </c>
      <c r="H39" s="32">
        <f>D101</f>
        <v>0</v>
      </c>
      <c r="I39" s="32">
        <f>D106</f>
        <v>0</v>
      </c>
      <c r="J39" s="32">
        <f>D110</f>
        <v>0</v>
      </c>
      <c r="K39" s="32">
        <f>D114</f>
        <v>0</v>
      </c>
      <c r="L39" s="32">
        <f>D119</f>
        <v>0</v>
      </c>
      <c r="M39" s="32">
        <f>D126</f>
        <v>0</v>
      </c>
      <c r="N39" s="32">
        <f>D130</f>
        <v>856875.45</v>
      </c>
      <c r="O39" s="32">
        <f>D134</f>
        <v>261780.86</v>
      </c>
      <c r="P39" s="32">
        <f>D138</f>
        <v>214922.28</v>
      </c>
      <c r="Q39" s="32">
        <f>D142</f>
        <v>0</v>
      </c>
      <c r="R39" s="32">
        <f>D146</f>
        <v>0</v>
      </c>
      <c r="S39" s="32">
        <f>D150</f>
        <v>300288.71999999997</v>
      </c>
      <c r="T39" s="30">
        <f>D154</f>
        <v>0</v>
      </c>
    </row>
    <row r="40" spans="1:20" ht="27" customHeight="1" x14ac:dyDescent="0.3">
      <c r="A40" s="33">
        <v>6</v>
      </c>
      <c r="B40" s="33" t="s">
        <v>28</v>
      </c>
      <c r="C40" s="34">
        <f>C37+C38-C39</f>
        <v>-455627.97929999977</v>
      </c>
      <c r="D40" s="34">
        <f t="shared" ref="D40:E40" si="5">D37+D38-D39</f>
        <v>41289.440000000002</v>
      </c>
      <c r="E40" s="34">
        <f t="shared" si="5"/>
        <v>-445530.30929999996</v>
      </c>
      <c r="F40" s="34">
        <f t="shared" ref="F40:T40" si="6">F38-F39</f>
        <v>-4123.9499999999971</v>
      </c>
      <c r="G40" s="34">
        <f t="shared" si="6"/>
        <v>45.459999999999127</v>
      </c>
      <c r="H40" s="34">
        <f t="shared" si="6"/>
        <v>0</v>
      </c>
      <c r="I40" s="34">
        <f t="shared" si="6"/>
        <v>0</v>
      </c>
      <c r="J40" s="34">
        <f t="shared" si="6"/>
        <v>4016.98</v>
      </c>
      <c r="K40" s="34">
        <f t="shared" si="6"/>
        <v>0</v>
      </c>
      <c r="L40" s="34">
        <f t="shared" si="6"/>
        <v>3278.6800000000003</v>
      </c>
      <c r="M40" s="34">
        <f t="shared" si="6"/>
        <v>12668.349999999999</v>
      </c>
      <c r="N40" s="34">
        <f t="shared" si="6"/>
        <v>1367.770000000135</v>
      </c>
      <c r="O40" s="34">
        <f t="shared" si="6"/>
        <v>-59816.639999999985</v>
      </c>
      <c r="P40" s="34">
        <f t="shared" si="6"/>
        <v>-49081.74000000002</v>
      </c>
      <c r="Q40" s="34">
        <f t="shared" si="6"/>
        <v>0</v>
      </c>
      <c r="R40" s="34">
        <f t="shared" si="6"/>
        <v>0</v>
      </c>
      <c r="S40" s="34">
        <f t="shared" si="6"/>
        <v>40257.98000000004</v>
      </c>
      <c r="T40" s="34">
        <f t="shared" si="6"/>
        <v>0</v>
      </c>
    </row>
    <row r="43" spans="1:20" ht="18.75" x14ac:dyDescent="0.3">
      <c r="A43" s="1" t="s">
        <v>29</v>
      </c>
      <c r="D43" s="26">
        <f>D45+D49+D89+D97+D101+D106+D110+D114+D119+D126+D130+D134+D138+D142+D146+D150+D154</f>
        <v>2259122.9299999997</v>
      </c>
      <c r="E43" s="35"/>
    </row>
    <row r="44" spans="1:20" ht="19.5" thickBot="1" x14ac:dyDescent="0.35">
      <c r="A44" s="1" t="s">
        <v>62</v>
      </c>
      <c r="D44" s="35">
        <f>D43*0.01</f>
        <v>22591.229299999999</v>
      </c>
      <c r="E44" s="40"/>
    </row>
    <row r="45" spans="1:20" ht="19.5" thickBot="1" x14ac:dyDescent="0.35">
      <c r="A45" s="59" t="s">
        <v>4</v>
      </c>
      <c r="B45" s="60"/>
      <c r="C45" s="60"/>
      <c r="D45" s="46">
        <f>SUM(D46:D47)</f>
        <v>90133.010000000009</v>
      </c>
    </row>
    <row r="46" spans="1:20" ht="15.75" x14ac:dyDescent="0.25">
      <c r="A46" s="47" t="s">
        <v>75</v>
      </c>
      <c r="D46" s="48">
        <v>9897.41</v>
      </c>
    </row>
    <row r="47" spans="1:20" ht="15.75" x14ac:dyDescent="0.25">
      <c r="A47" s="47" t="s">
        <v>74</v>
      </c>
      <c r="D47" s="48">
        <v>80235.600000000006</v>
      </c>
    </row>
    <row r="48" spans="1:20" ht="16.5" thickBot="1" x14ac:dyDescent="0.3">
      <c r="A48" s="47"/>
      <c r="D48" s="35"/>
    </row>
    <row r="49" spans="1:5" ht="19.5" thickBot="1" x14ac:dyDescent="0.35">
      <c r="A49" s="44" t="s">
        <v>5</v>
      </c>
      <c r="B49" s="45"/>
      <c r="C49" s="45"/>
      <c r="D49" s="49">
        <f>SUM(D50:D87)</f>
        <v>428981.65</v>
      </c>
    </row>
    <row r="50" spans="1:5" x14ac:dyDescent="0.25">
      <c r="A50" s="36">
        <v>1</v>
      </c>
      <c r="B50" s="37" t="s">
        <v>30</v>
      </c>
      <c r="D50" s="27"/>
    </row>
    <row r="51" spans="1:5" x14ac:dyDescent="0.25">
      <c r="A51" s="38"/>
      <c r="B51" s="39" t="s">
        <v>31</v>
      </c>
      <c r="C51" s="35"/>
      <c r="D51" s="40">
        <v>199116.78</v>
      </c>
    </row>
    <row r="52" spans="1:5" x14ac:dyDescent="0.25">
      <c r="A52" s="38"/>
      <c r="B52" s="39" t="s">
        <v>32</v>
      </c>
      <c r="C52" s="35"/>
      <c r="D52" s="40">
        <v>3687.26</v>
      </c>
    </row>
    <row r="53" spans="1:5" hidden="1" x14ac:dyDescent="0.25">
      <c r="A53" s="38"/>
      <c r="B53" s="39" t="s">
        <v>63</v>
      </c>
      <c r="C53" s="35"/>
      <c r="D53" s="40"/>
    </row>
    <row r="54" spans="1:5" ht="30" x14ac:dyDescent="0.25">
      <c r="A54" s="38"/>
      <c r="B54" s="39" t="s">
        <v>33</v>
      </c>
      <c r="C54" s="35"/>
      <c r="D54" s="40">
        <v>3791.04</v>
      </c>
    </row>
    <row r="55" spans="1:5" x14ac:dyDescent="0.25">
      <c r="A55" s="38"/>
      <c r="B55" s="39" t="s">
        <v>34</v>
      </c>
      <c r="C55" s="35"/>
      <c r="D55" s="40">
        <v>1841.05</v>
      </c>
    </row>
    <row r="56" spans="1:5" x14ac:dyDescent="0.25">
      <c r="A56" s="38"/>
      <c r="B56" s="39" t="s">
        <v>64</v>
      </c>
      <c r="C56" s="35"/>
      <c r="D56" s="40">
        <v>4562.16</v>
      </c>
    </row>
    <row r="57" spans="1:5" x14ac:dyDescent="0.25">
      <c r="A57" s="38"/>
      <c r="B57" s="39" t="s">
        <v>35</v>
      </c>
      <c r="C57" s="35"/>
      <c r="D57" s="40">
        <v>1129.6500000000001</v>
      </c>
    </row>
    <row r="58" spans="1:5" x14ac:dyDescent="0.25">
      <c r="A58" s="38"/>
      <c r="B58" s="39" t="s">
        <v>36</v>
      </c>
      <c r="C58" s="35"/>
      <c r="D58" s="40">
        <v>17627.02</v>
      </c>
      <c r="E58" s="27"/>
    </row>
    <row r="59" spans="1:5" x14ac:dyDescent="0.25">
      <c r="A59" s="38"/>
      <c r="B59" s="39" t="s">
        <v>37</v>
      </c>
      <c r="C59" s="35"/>
      <c r="D59" s="40">
        <v>5949.06</v>
      </c>
    </row>
    <row r="60" spans="1:5" x14ac:dyDescent="0.25">
      <c r="A60" s="38"/>
      <c r="B60" s="39" t="s">
        <v>38</v>
      </c>
      <c r="C60" s="35"/>
      <c r="D60" s="40">
        <v>84.67</v>
      </c>
    </row>
    <row r="61" spans="1:5" x14ac:dyDescent="0.25">
      <c r="A61" s="38"/>
      <c r="B61" s="39" t="s">
        <v>39</v>
      </c>
      <c r="C61" s="35"/>
      <c r="D61" s="40">
        <v>258.08999999999997</v>
      </c>
    </row>
    <row r="62" spans="1:5" x14ac:dyDescent="0.25">
      <c r="A62" s="38"/>
      <c r="B62" s="39" t="s">
        <v>40</v>
      </c>
      <c r="C62" s="35"/>
      <c r="D62" s="40">
        <v>425.28</v>
      </c>
    </row>
    <row r="63" spans="1:5" ht="30" x14ac:dyDescent="0.25">
      <c r="A63" s="38"/>
      <c r="B63" s="39" t="s">
        <v>41</v>
      </c>
      <c r="C63" s="35"/>
      <c r="D63" s="40">
        <v>8448.1299999999992</v>
      </c>
    </row>
    <row r="64" spans="1:5" x14ac:dyDescent="0.25">
      <c r="A64" s="38"/>
      <c r="B64" s="39" t="s">
        <v>42</v>
      </c>
      <c r="C64" s="35"/>
      <c r="D64" s="40">
        <v>1844.59</v>
      </c>
    </row>
    <row r="65" spans="1:4" x14ac:dyDescent="0.25">
      <c r="A65" s="38"/>
      <c r="B65" s="39" t="s">
        <v>43</v>
      </c>
      <c r="C65" s="35"/>
      <c r="D65" s="40">
        <v>60.95</v>
      </c>
    </row>
    <row r="66" spans="1:4" ht="30" x14ac:dyDescent="0.25">
      <c r="A66" s="38"/>
      <c r="B66" s="39" t="s">
        <v>44</v>
      </c>
      <c r="C66" s="35"/>
      <c r="D66" s="40">
        <v>468.2</v>
      </c>
    </row>
    <row r="67" spans="1:4" x14ac:dyDescent="0.25">
      <c r="A67" s="38"/>
      <c r="B67" s="39" t="s">
        <v>45</v>
      </c>
      <c r="C67" s="35"/>
      <c r="D67" s="40">
        <v>249.15</v>
      </c>
    </row>
    <row r="68" spans="1:4" x14ac:dyDescent="0.25">
      <c r="A68" s="38"/>
      <c r="B68" s="39" t="s">
        <v>46</v>
      </c>
      <c r="C68" s="35"/>
      <c r="D68" s="40">
        <v>111.16</v>
      </c>
    </row>
    <row r="69" spans="1:4" x14ac:dyDescent="0.25">
      <c r="A69" s="38"/>
      <c r="B69" s="39" t="s">
        <v>47</v>
      </c>
      <c r="C69" s="35"/>
      <c r="D69" s="40">
        <v>9764.52</v>
      </c>
    </row>
    <row r="70" spans="1:4" x14ac:dyDescent="0.25">
      <c r="A70" s="38"/>
      <c r="B70" s="39" t="s">
        <v>48</v>
      </c>
      <c r="C70" s="35"/>
      <c r="D70" s="40">
        <v>13.69</v>
      </c>
    </row>
    <row r="71" spans="1:4" x14ac:dyDescent="0.25">
      <c r="A71" s="38"/>
      <c r="B71" s="39" t="s">
        <v>49</v>
      </c>
      <c r="C71" s="35"/>
      <c r="D71" s="40">
        <v>2041.35</v>
      </c>
    </row>
    <row r="72" spans="1:4" x14ac:dyDescent="0.25">
      <c r="A72" s="38"/>
      <c r="B72" s="39"/>
      <c r="C72" s="35"/>
      <c r="D72" s="35"/>
    </row>
    <row r="73" spans="1:4" x14ac:dyDescent="0.25">
      <c r="A73" s="38"/>
      <c r="B73" s="43"/>
      <c r="C73" s="35"/>
      <c r="D73" s="35"/>
    </row>
    <row r="74" spans="1:4" x14ac:dyDescent="0.25">
      <c r="A74" s="36" t="s">
        <v>51</v>
      </c>
      <c r="B74" s="37" t="s">
        <v>52</v>
      </c>
      <c r="C74" s="35"/>
      <c r="D74" s="27"/>
    </row>
    <row r="75" spans="1:4" ht="30" x14ac:dyDescent="0.25">
      <c r="A75" s="37"/>
      <c r="B75" s="39" t="s">
        <v>53</v>
      </c>
      <c r="C75" s="35"/>
      <c r="D75" s="27">
        <v>100789.26</v>
      </c>
    </row>
    <row r="76" spans="1:4" ht="30" x14ac:dyDescent="0.25">
      <c r="B76" s="39" t="s">
        <v>50</v>
      </c>
      <c r="C76" s="35"/>
      <c r="D76" s="35">
        <v>16420.75</v>
      </c>
    </row>
    <row r="77" spans="1:4" ht="60" x14ac:dyDescent="0.25">
      <c r="B77" s="39" t="s">
        <v>54</v>
      </c>
      <c r="C77" s="35"/>
      <c r="D77" s="35">
        <v>289.25</v>
      </c>
    </row>
    <row r="78" spans="1:4" ht="30" x14ac:dyDescent="0.25">
      <c r="B78" s="39" t="s">
        <v>55</v>
      </c>
      <c r="C78" s="35"/>
      <c r="D78" s="35">
        <v>9000</v>
      </c>
    </row>
    <row r="79" spans="1:4" ht="30" hidden="1" x14ac:dyDescent="0.25">
      <c r="B79" s="39" t="s">
        <v>56</v>
      </c>
      <c r="C79" s="35"/>
      <c r="D79" s="35"/>
    </row>
    <row r="80" spans="1:4" x14ac:dyDescent="0.25">
      <c r="B80" s="39" t="s">
        <v>57</v>
      </c>
      <c r="C80" s="35"/>
      <c r="D80" s="35">
        <v>7380</v>
      </c>
    </row>
    <row r="81" spans="1:4" ht="30" x14ac:dyDescent="0.25">
      <c r="B81" s="39" t="s">
        <v>78</v>
      </c>
      <c r="C81" s="35"/>
      <c r="D81" s="35">
        <v>21600</v>
      </c>
    </row>
    <row r="82" spans="1:4" hidden="1" x14ac:dyDescent="0.25">
      <c r="B82" t="s">
        <v>58</v>
      </c>
      <c r="C82" s="35"/>
      <c r="D82" s="35"/>
    </row>
    <row r="83" spans="1:4" hidden="1" x14ac:dyDescent="0.25">
      <c r="B83" s="39" t="s">
        <v>65</v>
      </c>
      <c r="C83" s="35"/>
      <c r="D83" s="35"/>
    </row>
    <row r="84" spans="1:4" x14ac:dyDescent="0.25">
      <c r="B84" s="39" t="s">
        <v>76</v>
      </c>
      <c r="C84" s="35"/>
      <c r="D84" s="35">
        <v>1882.75</v>
      </c>
    </row>
    <row r="85" spans="1:4" x14ac:dyDescent="0.25">
      <c r="B85" t="s">
        <v>59</v>
      </c>
      <c r="C85" s="35"/>
      <c r="D85" s="35">
        <v>8265.84</v>
      </c>
    </row>
    <row r="86" spans="1:4" x14ac:dyDescent="0.25">
      <c r="B86" s="39" t="s">
        <v>77</v>
      </c>
      <c r="C86" s="35"/>
      <c r="D86" s="35">
        <v>1880</v>
      </c>
    </row>
    <row r="87" spans="1:4" x14ac:dyDescent="0.25">
      <c r="C87" s="35"/>
      <c r="D87" s="35"/>
    </row>
    <row r="88" spans="1:4" ht="15.75" thickBot="1" x14ac:dyDescent="0.3">
      <c r="C88" s="35"/>
      <c r="D88" s="35"/>
    </row>
    <row r="89" spans="1:4" ht="19.5" thickBot="1" x14ac:dyDescent="0.35">
      <c r="A89" s="44" t="s">
        <v>6</v>
      </c>
      <c r="B89" s="45"/>
      <c r="C89" s="45"/>
      <c r="D89" s="50">
        <f>SUM(D90:D96)</f>
        <v>87243.12</v>
      </c>
    </row>
    <row r="90" spans="1:4" x14ac:dyDescent="0.25">
      <c r="A90" t="s">
        <v>66</v>
      </c>
      <c r="C90" s="35"/>
      <c r="D90" s="35">
        <v>83078.23</v>
      </c>
    </row>
    <row r="91" spans="1:4" x14ac:dyDescent="0.25">
      <c r="A91" t="s">
        <v>67</v>
      </c>
      <c r="C91" s="35"/>
      <c r="D91" s="35">
        <v>96.4</v>
      </c>
    </row>
    <row r="92" spans="1:4" x14ac:dyDescent="0.25">
      <c r="A92" t="s">
        <v>68</v>
      </c>
      <c r="C92" s="35"/>
      <c r="D92" s="35">
        <v>3026.11</v>
      </c>
    </row>
    <row r="93" spans="1:4" x14ac:dyDescent="0.25">
      <c r="A93" t="s">
        <v>69</v>
      </c>
      <c r="C93" s="35"/>
      <c r="D93" s="35">
        <v>1042.3800000000001</v>
      </c>
    </row>
    <row r="94" spans="1:4" hidden="1" x14ac:dyDescent="0.25">
      <c r="C94" s="35"/>
      <c r="D94" s="35"/>
    </row>
    <row r="95" spans="1:4" hidden="1" x14ac:dyDescent="0.25">
      <c r="C95" s="35"/>
      <c r="D95" s="35"/>
    </row>
    <row r="96" spans="1:4" ht="15.75" thickBot="1" x14ac:dyDescent="0.3">
      <c r="A96" s="38"/>
      <c r="B96" s="39"/>
      <c r="C96" s="35"/>
      <c r="D96" s="35"/>
    </row>
    <row r="97" spans="1:4" ht="15.75" thickBot="1" x14ac:dyDescent="0.3">
      <c r="A97" s="51" t="s">
        <v>7</v>
      </c>
      <c r="B97" s="41"/>
      <c r="C97" s="42"/>
      <c r="D97" s="50">
        <v>18897.84</v>
      </c>
    </row>
    <row r="98" spans="1:4" x14ac:dyDescent="0.25">
      <c r="A98" s="38"/>
      <c r="B98" s="39"/>
      <c r="C98" s="35"/>
      <c r="D98" s="35"/>
    </row>
    <row r="99" spans="1:4" hidden="1" x14ac:dyDescent="0.25">
      <c r="A99" s="38"/>
      <c r="B99" s="39"/>
      <c r="C99" s="35"/>
      <c r="D99" s="35"/>
    </row>
    <row r="100" spans="1:4" ht="15.75" hidden="1" thickBot="1" x14ac:dyDescent="0.3">
      <c r="A100" s="38"/>
      <c r="B100" s="39"/>
      <c r="C100" s="35"/>
      <c r="D100" s="35"/>
    </row>
    <row r="101" spans="1:4" ht="15.75" hidden="1" thickBot="1" x14ac:dyDescent="0.3">
      <c r="A101" s="51" t="s">
        <v>8</v>
      </c>
      <c r="B101" s="41"/>
      <c r="C101" s="42"/>
      <c r="D101" s="50">
        <f>SUM(D102:D105)</f>
        <v>0</v>
      </c>
    </row>
    <row r="102" spans="1:4" hidden="1" x14ac:dyDescent="0.25">
      <c r="A102" s="38" t="s">
        <v>60</v>
      </c>
      <c r="B102" s="39"/>
      <c r="C102" s="35"/>
      <c r="D102" s="35"/>
    </row>
    <row r="103" spans="1:4" hidden="1" x14ac:dyDescent="0.25">
      <c r="A103" s="38" t="s">
        <v>70</v>
      </c>
      <c r="B103" s="39"/>
      <c r="C103" s="35"/>
      <c r="D103" s="35"/>
    </row>
    <row r="104" spans="1:4" hidden="1" x14ac:dyDescent="0.25">
      <c r="A104" s="38" t="s">
        <v>71</v>
      </c>
      <c r="B104" s="39"/>
      <c r="C104" s="35"/>
      <c r="D104" s="35"/>
    </row>
    <row r="105" spans="1:4" ht="15.75" hidden="1" thickBot="1" x14ac:dyDescent="0.3">
      <c r="A105" s="38"/>
      <c r="B105" s="39"/>
      <c r="C105" s="35"/>
      <c r="D105" s="35"/>
    </row>
    <row r="106" spans="1:4" ht="15.75" hidden="1" thickBot="1" x14ac:dyDescent="0.3">
      <c r="A106" s="51" t="s">
        <v>9</v>
      </c>
      <c r="B106" s="41"/>
      <c r="C106" s="42"/>
      <c r="D106" s="50">
        <f>SUM(D107:D109)</f>
        <v>0</v>
      </c>
    </row>
    <row r="107" spans="1:4" hidden="1" x14ac:dyDescent="0.25">
      <c r="A107" s="38" t="s">
        <v>72</v>
      </c>
      <c r="B107" s="39"/>
      <c r="C107" s="35"/>
      <c r="D107" s="35"/>
    </row>
    <row r="108" spans="1:4" hidden="1" x14ac:dyDescent="0.25">
      <c r="A108" s="38" t="s">
        <v>73</v>
      </c>
      <c r="B108" s="39"/>
      <c r="C108" s="35"/>
      <c r="D108" s="35"/>
    </row>
    <row r="109" spans="1:4" ht="15.75" hidden="1" thickBot="1" x14ac:dyDescent="0.3">
      <c r="A109" s="38"/>
      <c r="B109" s="39"/>
      <c r="C109" s="35"/>
      <c r="D109" s="35"/>
    </row>
    <row r="110" spans="1:4" ht="15.75" hidden="1" thickBot="1" x14ac:dyDescent="0.3">
      <c r="A110" s="51" t="s">
        <v>10</v>
      </c>
      <c r="B110" s="41"/>
      <c r="C110" s="42"/>
      <c r="D110" s="50"/>
    </row>
    <row r="111" spans="1:4" hidden="1" x14ac:dyDescent="0.25">
      <c r="A111" s="38"/>
      <c r="B111" s="39"/>
      <c r="C111" s="35"/>
      <c r="D111" s="35"/>
    </row>
    <row r="112" spans="1:4" hidden="1" x14ac:dyDescent="0.25">
      <c r="A112" s="38"/>
      <c r="B112" s="43"/>
      <c r="C112" s="35"/>
      <c r="D112" s="35"/>
    </row>
    <row r="113" spans="1:4" ht="15.75" hidden="1" thickBot="1" x14ac:dyDescent="0.3">
      <c r="A113" s="36"/>
      <c r="B113" s="37"/>
      <c r="C113" s="35"/>
      <c r="D113" s="27"/>
    </row>
    <row r="114" spans="1:4" ht="15.75" hidden="1" thickBot="1" x14ac:dyDescent="0.3">
      <c r="A114" s="51" t="s">
        <v>11</v>
      </c>
      <c r="B114" s="41"/>
      <c r="C114" s="42"/>
      <c r="D114" s="50"/>
    </row>
    <row r="115" spans="1:4" hidden="1" x14ac:dyDescent="0.25">
      <c r="B115" s="39"/>
      <c r="C115" s="35"/>
      <c r="D115" s="35"/>
    </row>
    <row r="116" spans="1:4" hidden="1" x14ac:dyDescent="0.25">
      <c r="B116" s="39"/>
      <c r="C116" s="35"/>
      <c r="D116" s="35"/>
    </row>
    <row r="117" spans="1:4" hidden="1" x14ac:dyDescent="0.25">
      <c r="B117" s="39"/>
      <c r="C117" s="35"/>
      <c r="D117" s="35"/>
    </row>
    <row r="118" spans="1:4" ht="15.75" hidden="1" thickBot="1" x14ac:dyDescent="0.3">
      <c r="B118" s="39"/>
      <c r="C118" s="35"/>
      <c r="D118" s="35"/>
    </row>
    <row r="119" spans="1:4" ht="15.75" hidden="1" thickBot="1" x14ac:dyDescent="0.3">
      <c r="A119" s="51" t="s">
        <v>12</v>
      </c>
      <c r="B119" s="41"/>
      <c r="C119" s="42"/>
      <c r="D119" s="50"/>
    </row>
    <row r="120" spans="1:4" hidden="1" x14ac:dyDescent="0.25">
      <c r="B120" s="39"/>
      <c r="C120" s="35"/>
      <c r="D120" s="35"/>
    </row>
    <row r="121" spans="1:4" hidden="1" x14ac:dyDescent="0.25">
      <c r="C121" s="35"/>
      <c r="D121" s="35"/>
    </row>
    <row r="122" spans="1:4" hidden="1" x14ac:dyDescent="0.25">
      <c r="B122" s="39"/>
      <c r="C122" s="35"/>
      <c r="D122" s="35"/>
    </row>
    <row r="123" spans="1:4" hidden="1" x14ac:dyDescent="0.25">
      <c r="C123" s="35"/>
      <c r="D123" s="27"/>
    </row>
    <row r="124" spans="1:4" hidden="1" x14ac:dyDescent="0.25">
      <c r="C124" s="35"/>
      <c r="D124" s="35"/>
    </row>
    <row r="125" spans="1:4" ht="15.75" hidden="1" thickBot="1" x14ac:dyDescent="0.3">
      <c r="C125" s="35"/>
      <c r="D125" s="35"/>
    </row>
    <row r="126" spans="1:4" ht="15.75" hidden="1" thickBot="1" x14ac:dyDescent="0.3">
      <c r="A126" s="51" t="s">
        <v>13</v>
      </c>
      <c r="B126" s="41"/>
      <c r="C126" s="42"/>
      <c r="D126" s="50"/>
    </row>
    <row r="127" spans="1:4" hidden="1" x14ac:dyDescent="0.25">
      <c r="A127" s="52"/>
      <c r="B127" s="52"/>
      <c r="C127" s="52"/>
      <c r="D127" s="27"/>
    </row>
    <row r="128" spans="1:4" hidden="1" x14ac:dyDescent="0.25">
      <c r="B128" s="39"/>
      <c r="C128" s="35"/>
      <c r="D128" s="35"/>
    </row>
    <row r="129" spans="1:4" ht="15.75" thickBot="1" x14ac:dyDescent="0.3">
      <c r="B129" s="39"/>
      <c r="C129" s="35"/>
      <c r="D129" s="35"/>
    </row>
    <row r="130" spans="1:4" ht="15.75" thickBot="1" x14ac:dyDescent="0.3">
      <c r="A130" s="51" t="s">
        <v>14</v>
      </c>
      <c r="B130" s="41"/>
      <c r="C130" s="42"/>
      <c r="D130" s="50">
        <v>856875.45</v>
      </c>
    </row>
    <row r="131" spans="1:4" x14ac:dyDescent="0.25">
      <c r="B131" s="39"/>
      <c r="C131" s="35"/>
      <c r="D131" s="35"/>
    </row>
    <row r="132" spans="1:4" x14ac:dyDescent="0.25">
      <c r="B132" s="39"/>
      <c r="C132" s="35"/>
      <c r="D132" s="35"/>
    </row>
    <row r="133" spans="1:4" ht="15.75" thickBot="1" x14ac:dyDescent="0.3">
      <c r="B133" s="39"/>
      <c r="C133" s="35"/>
      <c r="D133" s="35"/>
    </row>
    <row r="134" spans="1:4" ht="15.75" thickBot="1" x14ac:dyDescent="0.3">
      <c r="A134" s="51" t="s">
        <v>15</v>
      </c>
      <c r="B134" s="41"/>
      <c r="C134" s="42"/>
      <c r="D134" s="50">
        <v>261780.86</v>
      </c>
    </row>
    <row r="135" spans="1:4" x14ac:dyDescent="0.25">
      <c r="C135" s="35"/>
      <c r="D135" s="35"/>
    </row>
    <row r="136" spans="1:4" x14ac:dyDescent="0.25">
      <c r="C136" s="35"/>
      <c r="D136" s="35"/>
    </row>
    <row r="137" spans="1:4" ht="15.75" thickBot="1" x14ac:dyDescent="0.3">
      <c r="A137" s="52"/>
      <c r="B137" s="52"/>
      <c r="C137" s="52"/>
      <c r="D137" s="27"/>
    </row>
    <row r="138" spans="1:4" ht="15.75" thickBot="1" x14ac:dyDescent="0.3">
      <c r="A138" s="51" t="s">
        <v>16</v>
      </c>
      <c r="B138" s="41"/>
      <c r="C138" s="42"/>
      <c r="D138" s="50">
        <v>214922.28</v>
      </c>
    </row>
    <row r="139" spans="1:4" x14ac:dyDescent="0.25">
      <c r="C139" s="35"/>
      <c r="D139" s="35"/>
    </row>
    <row r="140" spans="1:4" hidden="1" x14ac:dyDescent="0.25">
      <c r="C140" s="35"/>
      <c r="D140" s="35"/>
    </row>
    <row r="141" spans="1:4" ht="15.75" hidden="1" thickBot="1" x14ac:dyDescent="0.3">
      <c r="A141" s="52"/>
      <c r="B141" s="52"/>
      <c r="C141" s="52"/>
      <c r="D141" s="27"/>
    </row>
    <row r="142" spans="1:4" ht="15.75" hidden="1" thickBot="1" x14ac:dyDescent="0.3">
      <c r="A142" s="51" t="s">
        <v>17</v>
      </c>
      <c r="B142" s="41"/>
      <c r="C142" s="42"/>
      <c r="D142" s="50"/>
    </row>
    <row r="143" spans="1:4" hidden="1" x14ac:dyDescent="0.25">
      <c r="C143" s="35"/>
      <c r="D143" s="35"/>
    </row>
    <row r="144" spans="1:4" hidden="1" x14ac:dyDescent="0.25">
      <c r="C144" s="35"/>
      <c r="D144" s="35"/>
    </row>
    <row r="145" spans="1:4" ht="15.75" hidden="1" thickBot="1" x14ac:dyDescent="0.3">
      <c r="A145" s="52"/>
      <c r="B145" s="52"/>
      <c r="C145" s="52"/>
      <c r="D145" s="27"/>
    </row>
    <row r="146" spans="1:4" ht="15.75" hidden="1" thickBot="1" x14ac:dyDescent="0.3">
      <c r="A146" s="51" t="s">
        <v>18</v>
      </c>
      <c r="B146" s="41"/>
      <c r="C146" s="42"/>
      <c r="D146" s="50"/>
    </row>
    <row r="147" spans="1:4" hidden="1" x14ac:dyDescent="0.25">
      <c r="C147" s="35"/>
      <c r="D147" s="35"/>
    </row>
    <row r="148" spans="1:4" hidden="1" x14ac:dyDescent="0.25">
      <c r="C148" s="35"/>
      <c r="D148" s="35"/>
    </row>
    <row r="149" spans="1:4" ht="15.75" thickBot="1" x14ac:dyDescent="0.3">
      <c r="A149" s="52"/>
      <c r="B149" s="52"/>
      <c r="C149" s="52"/>
      <c r="D149" s="27"/>
    </row>
    <row r="150" spans="1:4" ht="15.75" thickBot="1" x14ac:dyDescent="0.3">
      <c r="A150" s="51" t="s">
        <v>19</v>
      </c>
      <c r="B150" s="41"/>
      <c r="C150" s="42"/>
      <c r="D150" s="50">
        <v>300288.71999999997</v>
      </c>
    </row>
    <row r="151" spans="1:4" x14ac:dyDescent="0.25">
      <c r="C151" s="35"/>
      <c r="D151" s="35"/>
    </row>
    <row r="152" spans="1:4" hidden="1" x14ac:dyDescent="0.25">
      <c r="C152" s="35"/>
      <c r="D152" s="35"/>
    </row>
    <row r="153" spans="1:4" ht="15.75" hidden="1" thickBot="1" x14ac:dyDescent="0.3">
      <c r="A153" s="52"/>
      <c r="B153" s="52"/>
      <c r="C153" s="52"/>
      <c r="D153" s="27"/>
    </row>
    <row r="154" spans="1:4" ht="15.75" hidden="1" thickBot="1" x14ac:dyDescent="0.3">
      <c r="A154" s="51" t="s">
        <v>20</v>
      </c>
      <c r="B154" s="41"/>
      <c r="C154" s="42"/>
      <c r="D154" s="50"/>
    </row>
    <row r="155" spans="1:4" hidden="1" x14ac:dyDescent="0.25">
      <c r="C155" s="35"/>
      <c r="D155" s="35"/>
    </row>
    <row r="158" spans="1:4" x14ac:dyDescent="0.25">
      <c r="B158" t="s">
        <v>80</v>
      </c>
    </row>
    <row r="161" spans="2:2" x14ac:dyDescent="0.25">
      <c r="B161" t="s">
        <v>81</v>
      </c>
    </row>
  </sheetData>
  <mergeCells count="2">
    <mergeCell ref="A38:B38"/>
    <mergeCell ref="A45:C45"/>
  </mergeCells>
  <pageMargins left="0.51181102362204722" right="0.51181102362204722" top="0.94488188976377963" bottom="0.74803149606299213" header="0.31496062992125984" footer="0.31496062992125984"/>
  <pageSetup paperSize="9" scale="57" fitToHeight="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Маш.18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2019-03-28T05:35:59Z</dcterms:modified>
</cp:coreProperties>
</file>