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4DBAFF6-5AC5-4609-BDB7-3C70C3E72EA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Влад.33" sheetId="6" r:id="rId1"/>
  </sheets>
  <calcPr calcId="181029"/>
</workbook>
</file>

<file path=xl/calcChain.xml><?xml version="1.0" encoding="utf-8"?>
<calcChain xmlns="http://schemas.openxmlformats.org/spreadsheetml/2006/main">
  <c r="C6" i="6" l="1"/>
  <c r="F6" i="6"/>
  <c r="E6" i="6"/>
  <c r="K34" i="6" l="1"/>
  <c r="D111" i="6" l="1"/>
  <c r="D94" i="6" l="1"/>
  <c r="F39" i="6" s="1"/>
  <c r="D54" i="6"/>
  <c r="D45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D43" i="6" l="1"/>
  <c r="D44" i="6" s="1"/>
  <c r="E39" i="6" s="1"/>
  <c r="D39" i="6"/>
  <c r="C39" i="6" l="1"/>
  <c r="C37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C31" i="6" s="1"/>
  <c r="D31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T27" i="6"/>
  <c r="S27" i="6"/>
  <c r="R27" i="6"/>
  <c r="Q27" i="6"/>
  <c r="P27" i="6"/>
  <c r="O27" i="6"/>
  <c r="N27" i="6"/>
  <c r="L27" i="6"/>
  <c r="K27" i="6"/>
  <c r="J27" i="6"/>
  <c r="I27" i="6"/>
  <c r="G27" i="6"/>
  <c r="F27" i="6"/>
  <c r="E27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T23" i="6"/>
  <c r="S23" i="6"/>
  <c r="R23" i="6"/>
  <c r="Q23" i="6"/>
  <c r="P23" i="6"/>
  <c r="O23" i="6"/>
  <c r="N23" i="6"/>
  <c r="N19" i="6" s="1"/>
  <c r="M23" i="6"/>
  <c r="L23" i="6"/>
  <c r="K23" i="6"/>
  <c r="J23" i="6"/>
  <c r="I23" i="6"/>
  <c r="H23" i="6"/>
  <c r="G23" i="6"/>
  <c r="F23" i="6"/>
  <c r="F19" i="6" s="1"/>
  <c r="E23" i="6"/>
  <c r="D23" i="6"/>
  <c r="R22" i="6"/>
  <c r="G22" i="6"/>
  <c r="E22" i="6"/>
  <c r="G21" i="6"/>
  <c r="E21" i="6"/>
  <c r="G20" i="6"/>
  <c r="E20" i="6"/>
  <c r="G19" i="6"/>
  <c r="T18" i="6"/>
  <c r="G18" i="6"/>
  <c r="T17" i="6"/>
  <c r="G17" i="6"/>
  <c r="C17" i="6" s="1"/>
  <c r="T16" i="6"/>
  <c r="G16" i="6"/>
  <c r="T15" i="6"/>
  <c r="P15" i="6"/>
  <c r="G15" i="6"/>
  <c r="T14" i="6"/>
  <c r="G14" i="6"/>
  <c r="T13" i="6"/>
  <c r="G13" i="6"/>
  <c r="T12" i="6"/>
  <c r="S12" i="6"/>
  <c r="R12" i="6"/>
  <c r="Q12" i="6"/>
  <c r="P12" i="6"/>
  <c r="O12" i="6"/>
  <c r="G12" i="6"/>
  <c r="E12" i="6"/>
  <c r="T11" i="6"/>
  <c r="S11" i="6"/>
  <c r="R11" i="6"/>
  <c r="Q11" i="6"/>
  <c r="P11" i="6"/>
  <c r="O11" i="6"/>
  <c r="G11" i="6"/>
  <c r="C11" i="6" s="1"/>
  <c r="T10" i="6"/>
  <c r="S10" i="6"/>
  <c r="R10" i="6"/>
  <c r="Q10" i="6"/>
  <c r="P10" i="6"/>
  <c r="O10" i="6"/>
  <c r="N10" i="6"/>
  <c r="G10" i="6"/>
  <c r="E10" i="6"/>
  <c r="G9" i="6"/>
  <c r="C9" i="6" s="1"/>
  <c r="G8" i="6"/>
  <c r="C8" i="6" s="1"/>
  <c r="G7" i="6"/>
  <c r="C7" i="6" s="1"/>
  <c r="N6" i="6"/>
  <c r="N38" i="6" s="1"/>
  <c r="N40" i="6" s="1"/>
  <c r="M6" i="6"/>
  <c r="L6" i="6"/>
  <c r="K6" i="6"/>
  <c r="J6" i="6"/>
  <c r="J38" i="6" s="1"/>
  <c r="J40" i="6" s="1"/>
  <c r="I6" i="6"/>
  <c r="H6" i="6"/>
  <c r="F38" i="6"/>
  <c r="F40" i="6" s="1"/>
  <c r="D6" i="6"/>
  <c r="L19" i="6" l="1"/>
  <c r="T6" i="6"/>
  <c r="R19" i="6"/>
  <c r="O6" i="6"/>
  <c r="C28" i="6"/>
  <c r="C14" i="6"/>
  <c r="C16" i="6"/>
  <c r="C21" i="6"/>
  <c r="C23" i="6"/>
  <c r="H19" i="6"/>
  <c r="H32" i="6" s="1"/>
  <c r="P19" i="6"/>
  <c r="T19" i="6"/>
  <c r="K19" i="6"/>
  <c r="O19" i="6"/>
  <c r="C25" i="6"/>
  <c r="J19" i="6"/>
  <c r="C27" i="6"/>
  <c r="C30" i="6"/>
  <c r="R6" i="6"/>
  <c r="R38" i="6" s="1"/>
  <c r="R40" i="6" s="1"/>
  <c r="S6" i="6"/>
  <c r="S19" i="6"/>
  <c r="P6" i="6"/>
  <c r="C12" i="6"/>
  <c r="Q6" i="6"/>
  <c r="C22" i="6"/>
  <c r="K32" i="6"/>
  <c r="C13" i="6"/>
  <c r="C15" i="6"/>
  <c r="C18" i="6"/>
  <c r="C24" i="6"/>
  <c r="C29" i="6"/>
  <c r="L32" i="6"/>
  <c r="G6" i="6"/>
  <c r="C10" i="6"/>
  <c r="D19" i="6"/>
  <c r="D32" i="6" s="1"/>
  <c r="I19" i="6"/>
  <c r="M19" i="6"/>
  <c r="Q19" i="6"/>
  <c r="Q32" i="6" s="1"/>
  <c r="T32" i="6"/>
  <c r="I32" i="6"/>
  <c r="M32" i="6"/>
  <c r="C20" i="6"/>
  <c r="C26" i="6"/>
  <c r="G32" i="6"/>
  <c r="G38" i="6"/>
  <c r="G40" i="6" s="1"/>
  <c r="O32" i="6"/>
  <c r="O38" i="6"/>
  <c r="O40" i="6" s="1"/>
  <c r="S32" i="6"/>
  <c r="S38" i="6"/>
  <c r="S40" i="6" s="1"/>
  <c r="E19" i="6"/>
  <c r="F32" i="6"/>
  <c r="J32" i="6"/>
  <c r="N32" i="6"/>
  <c r="K38" i="6"/>
  <c r="K40" i="6" s="1"/>
  <c r="D38" i="6"/>
  <c r="D40" i="6" s="1"/>
  <c r="H38" i="6"/>
  <c r="H40" i="6" s="1"/>
  <c r="L38" i="6"/>
  <c r="L40" i="6" s="1"/>
  <c r="T38" i="6"/>
  <c r="T40" i="6" s="1"/>
  <c r="E38" i="6"/>
  <c r="E40" i="6" s="1"/>
  <c r="I38" i="6"/>
  <c r="I40" i="6" s="1"/>
  <c r="M38" i="6"/>
  <c r="M40" i="6" s="1"/>
  <c r="Q38" i="6"/>
  <c r="Q40" i="6" s="1"/>
  <c r="C38" i="6" l="1"/>
  <c r="C40" i="6" s="1"/>
  <c r="P32" i="6"/>
  <c r="P38" i="6"/>
  <c r="P40" i="6" s="1"/>
  <c r="R32" i="6"/>
  <c r="C19" i="6"/>
  <c r="E32" i="6"/>
  <c r="C32" i="6" l="1"/>
</calcChain>
</file>

<file path=xl/sharedStrings.xml><?xml version="1.0" encoding="utf-8"?>
<sst xmlns="http://schemas.openxmlformats.org/spreadsheetml/2006/main" count="126" uniqueCount="87">
  <si>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</si>
  <si>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</si>
  <si>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</si>
  <si>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</si>
  <si>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</si>
  <si>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</si>
  <si>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</si>
  <si>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</si>
  <si>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</si>
  <si>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</si>
  <si>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</si>
  <si>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</si>
  <si>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</si>
  <si>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</si>
  <si>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</si>
  <si>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</si>
  <si>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</si>
  <si>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</si>
  <si>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</si>
  <si>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</si>
  <si>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</si>
  <si>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</si>
  <si>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</si>
  <si>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</si>
  <si>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</si>
  <si>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</si>
  <si>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</si>
  <si>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</si>
  <si>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</si>
  <si>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</si>
  <si>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</si>
  <si>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</si>
  <si>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</si>
  <si>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</si>
  <si>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РКО</t>
  </si>
  <si>
    <t>Программное обеспечение</t>
  </si>
  <si>
    <t>Содержание офиса (аренда, КУ)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</si>
  <si>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</si>
  <si>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</si>
  <si>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</si>
  <si>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</si>
  <si>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</si>
  <si>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</si>
  <si>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</si>
  <si>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</si>
  <si>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</si>
  <si>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</si>
  <si>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</si>
  <si>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</si>
  <si>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</si>
  <si>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</si>
  <si>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</si>
  <si>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</si>
  <si>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</si>
  <si>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</si>
  <si>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</si>
  <si>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</si>
  <si>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</si>
  <si>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</si>
  <si>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</si>
  <si>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</si>
  <si>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ФОТ дворников с отчислениями</t>
  </si>
  <si>
    <t>г. Кохма, ул. Владимирская, д. 33</t>
  </si>
  <si>
    <t>Налог УСН 1%</t>
  </si>
  <si>
    <t>Материалы</t>
  </si>
  <si>
    <t>Сопровождение программы 1с Бух.</t>
  </si>
  <si>
    <t>Услуги  МФЦ</t>
  </si>
  <si>
    <t>Дератизация помещений</t>
  </si>
  <si>
    <t>Спецодежда</t>
  </si>
  <si>
    <t>Услуги по аренде экскаватора-погрузчика</t>
  </si>
  <si>
    <t>в т.ч. Песок,инвентарь и т.д.</t>
  </si>
  <si>
    <t>Обслуживание УУТЭ</t>
  </si>
  <si>
    <t>Ремонт герметизации швов</t>
  </si>
  <si>
    <t>Ремонт инженерного оборудования</t>
  </si>
  <si>
    <t>Ремонт мягкой кровли до 20м2</t>
  </si>
  <si>
    <t>Текущий ремонт подъезда</t>
  </si>
  <si>
    <t>Установка элементов благоустройства</t>
  </si>
  <si>
    <t>Генеральная уборка</t>
  </si>
  <si>
    <t>Дератизация контейнерной площадки</t>
  </si>
  <si>
    <t>ФОТ уборщицы с отчислениями</t>
  </si>
  <si>
    <t>Материалы (бытовая химия т.д.</t>
  </si>
  <si>
    <t>Страхование лифтов</t>
  </si>
  <si>
    <t>Техническое обслуживание лифтов</t>
  </si>
  <si>
    <t>Техническое освидетельствование лифтов</t>
  </si>
  <si>
    <t>Генеральный директор _______________________ Балыков А.И.</t>
  </si>
  <si>
    <t>Председатель Правления ТСЖ "Луч" _________________________ Старченко М.В.</t>
  </si>
  <si>
    <t>Отчет по затратам  за 2018год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</si>
</sst>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4" borderId="1" xfId="0" applyFont="1" applyFill="1" applyBorder="1"/>
    <xf numFmtId="17" fontId="4" fillId="4" borderId="1" xfId="0" applyNumberFormat="1" applyFont="1" applyFill="1" applyBorder="1"/>
    <xf numFmtId="4" fontId="4" fillId="4" borderId="1" xfId="0" applyNumberFormat="1" applyFont="1" applyFill="1" applyBorder="1"/>
    <xf numFmtId="0" fontId="4" fillId="4" borderId="0" xfId="0" applyFont="1" applyFill="1"/>
    <xf numFmtId="0" fontId="4" fillId="4" borderId="2" xfId="0" applyFont="1" applyFill="1" applyBorder="1"/>
    <xf numFmtId="17" fontId="4" fillId="4" borderId="2" xfId="0" applyNumberFormat="1" applyFont="1" applyFill="1" applyBorder="1"/>
    <xf numFmtId="4" fontId="4" fillId="4" borderId="2" xfId="0" applyNumberFormat="1" applyFont="1" applyFill="1" applyBorder="1"/>
    <xf numFmtId="0" fontId="1" fillId="0" borderId="0" xfId="0" applyFont="1"/>
    <xf numFmtId="4" fontId="4" fillId="0" borderId="0" xfId="0" applyNumberFormat="1" applyFont="1"/>
    <xf numFmtId="4" fontId="3" fillId="0" borderId="9" xfId="0" applyNumberFormat="1" applyFont="1" applyBorder="1"/>
    <xf numFmtId="0" fontId="11" fillId="0" borderId="0" xfId="0" applyFont="1"/>
    <xf numFmtId="4" fontId="0" fillId="5" borderId="0" xfId="0" applyNumberFormat="1" applyFill="1"/>
    <xf numFmtId="4" fontId="4" fillId="0" borderId="9" xfId="0" applyNumberFormat="1" applyFont="1" applyBorder="1"/>
    <xf numFmtId="4" fontId="0" fillId="0" borderId="9" xfId="0" applyNumberFormat="1" applyBorder="1"/>
    <xf numFmtId="0" fontId="2" fillId="2" borderId="6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4" fontId="12" fillId="0" borderId="0" xfId="0" applyNumberFormat="1" applyFont="1"/>
    <xf numFmtId="0" fontId="3" fillId="2" borderId="3" xfId="0" applyFont="1" applyFill="1" applyBorder="1"/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W164"/>
  <sheetViews>
    <sheetView tabSelected="1" zoomScaleNormal="100" workbookViewId="0">
      <selection activeCell="W4" sqref="W4"/>
    </sheetView>
  </sheetViews>
  <sheetFormatPr defaultRowHeight="15" x14ac:dyDescent="0.25"/>
  <cols>
    <col min="2" max="2" width="35.42578125" customWidth="1"/>
    <col min="3" max="3" width="18.28515625" customWidth="1"/>
    <col min="4" max="4" width="19.5703125" customWidth="1"/>
    <col min="5" max="5" width="18.140625" customWidth="1"/>
    <col min="6" max="6" width="14.5703125" customWidth="1"/>
    <col min="7" max="7" width="15.7109375" customWidth="1"/>
    <col min="8" max="8" width="15.85546875" customWidth="1"/>
    <col min="9" max="9" width="14.28515625" customWidth="1"/>
    <col min="10" max="10" width="17.42578125" customWidth="1"/>
    <col min="11" max="11" width="14.7109375" customWidth="1"/>
    <col min="12" max="12" width="13.42578125" customWidth="1"/>
    <col min="13" max="13" width="14.7109375" customWidth="1"/>
    <col min="14" max="14" width="17" customWidth="1"/>
    <col min="15" max="15" width="14.85546875" customWidth="1"/>
    <col min="16" max="16" width="17.28515625" customWidth="1"/>
    <col min="17" max="17" width="18" customWidth="1"/>
    <col min="18" max="18" width="14.28515625" customWidth="1"/>
    <col min="19" max="19" width="18.5703125" customWidth="1"/>
    <col min="20" max="20" width="13.85546875" customWidth="1"/>
    <col min="23" max="23" width="16.140625" bestFit="1" customWidth="1"/>
    <col min="258" max="258" width="35.42578125" customWidth="1"/>
    <col min="259" max="259" width="18.28515625" customWidth="1"/>
    <col min="260" max="260" width="16.85546875" customWidth="1"/>
    <col min="261" max="261" width="16.4257812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68" width="13.42578125" customWidth="1"/>
    <col min="269" max="269" width="14.7109375" customWidth="1"/>
    <col min="270" max="270" width="17" customWidth="1"/>
    <col min="271" max="271" width="14.85546875" customWidth="1"/>
    <col min="272" max="272" width="17.28515625" customWidth="1"/>
    <col min="273" max="273" width="18" customWidth="1"/>
    <col min="274" max="274" width="14.28515625" customWidth="1"/>
    <col min="275" max="275" width="18.5703125" customWidth="1"/>
    <col min="276" max="276" width="13.85546875" customWidth="1"/>
    <col min="514" max="514" width="35.42578125" customWidth="1"/>
    <col min="515" max="515" width="18.28515625" customWidth="1"/>
    <col min="516" max="516" width="16.85546875" customWidth="1"/>
    <col min="517" max="517" width="16.4257812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4" width="13.42578125" customWidth="1"/>
    <col min="525" max="525" width="14.7109375" customWidth="1"/>
    <col min="526" max="526" width="17" customWidth="1"/>
    <col min="527" max="527" width="14.85546875" customWidth="1"/>
    <col min="528" max="528" width="17.28515625" customWidth="1"/>
    <col min="529" max="529" width="18" customWidth="1"/>
    <col min="530" max="530" width="14.28515625" customWidth="1"/>
    <col min="531" max="531" width="18.5703125" customWidth="1"/>
    <col min="532" max="532" width="13.85546875" customWidth="1"/>
    <col min="770" max="770" width="35.42578125" customWidth="1"/>
    <col min="771" max="771" width="18.28515625" customWidth="1"/>
    <col min="772" max="772" width="16.85546875" customWidth="1"/>
    <col min="773" max="773" width="16.4257812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0" width="13.42578125" customWidth="1"/>
    <col min="781" max="781" width="14.7109375" customWidth="1"/>
    <col min="782" max="782" width="17" customWidth="1"/>
    <col min="783" max="783" width="14.85546875" customWidth="1"/>
    <col min="784" max="784" width="17.28515625" customWidth="1"/>
    <col min="785" max="785" width="18" customWidth="1"/>
    <col min="786" max="786" width="14.28515625" customWidth="1"/>
    <col min="787" max="787" width="18.5703125" customWidth="1"/>
    <col min="788" max="788" width="13.85546875" customWidth="1"/>
    <col min="1026" max="1026" width="35.42578125" customWidth="1"/>
    <col min="1027" max="1027" width="18.28515625" customWidth="1"/>
    <col min="1028" max="1028" width="16.85546875" customWidth="1"/>
    <col min="1029" max="1029" width="16.4257812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6" width="13.42578125" customWidth="1"/>
    <col min="1037" max="1037" width="14.7109375" customWidth="1"/>
    <col min="1038" max="1038" width="17" customWidth="1"/>
    <col min="1039" max="1039" width="14.85546875" customWidth="1"/>
    <col min="1040" max="1040" width="17.28515625" customWidth="1"/>
    <col min="1041" max="1041" width="18" customWidth="1"/>
    <col min="1042" max="1042" width="14.28515625" customWidth="1"/>
    <col min="1043" max="1043" width="18.5703125" customWidth="1"/>
    <col min="1044" max="1044" width="13.85546875" customWidth="1"/>
    <col min="1282" max="1282" width="35.42578125" customWidth="1"/>
    <col min="1283" max="1283" width="18.28515625" customWidth="1"/>
    <col min="1284" max="1284" width="16.85546875" customWidth="1"/>
    <col min="1285" max="1285" width="16.4257812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2" width="13.42578125" customWidth="1"/>
    <col min="1293" max="1293" width="14.7109375" customWidth="1"/>
    <col min="1294" max="1294" width="17" customWidth="1"/>
    <col min="1295" max="1295" width="14.85546875" customWidth="1"/>
    <col min="1296" max="1296" width="17.28515625" customWidth="1"/>
    <col min="1297" max="1297" width="18" customWidth="1"/>
    <col min="1298" max="1298" width="14.28515625" customWidth="1"/>
    <col min="1299" max="1299" width="18.5703125" customWidth="1"/>
    <col min="1300" max="1300" width="13.85546875" customWidth="1"/>
    <col min="1538" max="1538" width="35.42578125" customWidth="1"/>
    <col min="1539" max="1539" width="18.28515625" customWidth="1"/>
    <col min="1540" max="1540" width="16.85546875" customWidth="1"/>
    <col min="1541" max="1541" width="16.4257812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48" width="13.42578125" customWidth="1"/>
    <col min="1549" max="1549" width="14.7109375" customWidth="1"/>
    <col min="1550" max="1550" width="17" customWidth="1"/>
    <col min="1551" max="1551" width="14.85546875" customWidth="1"/>
    <col min="1552" max="1552" width="17.28515625" customWidth="1"/>
    <col min="1553" max="1553" width="18" customWidth="1"/>
    <col min="1554" max="1554" width="14.28515625" customWidth="1"/>
    <col min="1555" max="1555" width="18.5703125" customWidth="1"/>
    <col min="1556" max="1556" width="13.85546875" customWidth="1"/>
    <col min="1794" max="1794" width="35.42578125" customWidth="1"/>
    <col min="1795" max="1795" width="18.28515625" customWidth="1"/>
    <col min="1796" max="1796" width="16.85546875" customWidth="1"/>
    <col min="1797" max="1797" width="16.4257812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4" width="13.42578125" customWidth="1"/>
    <col min="1805" max="1805" width="14.7109375" customWidth="1"/>
    <col min="1806" max="1806" width="17" customWidth="1"/>
    <col min="1807" max="1807" width="14.85546875" customWidth="1"/>
    <col min="1808" max="1808" width="17.28515625" customWidth="1"/>
    <col min="1809" max="1809" width="18" customWidth="1"/>
    <col min="1810" max="1810" width="14.28515625" customWidth="1"/>
    <col min="1811" max="1811" width="18.5703125" customWidth="1"/>
    <col min="1812" max="1812" width="13.85546875" customWidth="1"/>
    <col min="2050" max="2050" width="35.42578125" customWidth="1"/>
    <col min="2051" max="2051" width="18.28515625" customWidth="1"/>
    <col min="2052" max="2052" width="16.85546875" customWidth="1"/>
    <col min="2053" max="2053" width="16.4257812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0" width="13.42578125" customWidth="1"/>
    <col min="2061" max="2061" width="14.7109375" customWidth="1"/>
    <col min="2062" max="2062" width="17" customWidth="1"/>
    <col min="2063" max="2063" width="14.85546875" customWidth="1"/>
    <col min="2064" max="2064" width="17.28515625" customWidth="1"/>
    <col min="2065" max="2065" width="18" customWidth="1"/>
    <col min="2066" max="2066" width="14.28515625" customWidth="1"/>
    <col min="2067" max="2067" width="18.5703125" customWidth="1"/>
    <col min="2068" max="2068" width="13.85546875" customWidth="1"/>
    <col min="2306" max="2306" width="35.42578125" customWidth="1"/>
    <col min="2307" max="2307" width="18.28515625" customWidth="1"/>
    <col min="2308" max="2308" width="16.85546875" customWidth="1"/>
    <col min="2309" max="2309" width="16.4257812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6" width="13.42578125" customWidth="1"/>
    <col min="2317" max="2317" width="14.7109375" customWidth="1"/>
    <col min="2318" max="2318" width="17" customWidth="1"/>
    <col min="2319" max="2319" width="14.85546875" customWidth="1"/>
    <col min="2320" max="2320" width="17.28515625" customWidth="1"/>
    <col min="2321" max="2321" width="18" customWidth="1"/>
    <col min="2322" max="2322" width="14.28515625" customWidth="1"/>
    <col min="2323" max="2323" width="18.5703125" customWidth="1"/>
    <col min="2324" max="2324" width="13.85546875" customWidth="1"/>
    <col min="2562" max="2562" width="35.42578125" customWidth="1"/>
    <col min="2563" max="2563" width="18.28515625" customWidth="1"/>
    <col min="2564" max="2564" width="16.85546875" customWidth="1"/>
    <col min="2565" max="2565" width="16.4257812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2" width="13.42578125" customWidth="1"/>
    <col min="2573" max="2573" width="14.7109375" customWidth="1"/>
    <col min="2574" max="2574" width="17" customWidth="1"/>
    <col min="2575" max="2575" width="14.85546875" customWidth="1"/>
    <col min="2576" max="2576" width="17.28515625" customWidth="1"/>
    <col min="2577" max="2577" width="18" customWidth="1"/>
    <col min="2578" max="2578" width="14.28515625" customWidth="1"/>
    <col min="2579" max="2579" width="18.5703125" customWidth="1"/>
    <col min="2580" max="2580" width="13.85546875" customWidth="1"/>
    <col min="2818" max="2818" width="35.42578125" customWidth="1"/>
    <col min="2819" max="2819" width="18.28515625" customWidth="1"/>
    <col min="2820" max="2820" width="16.85546875" customWidth="1"/>
    <col min="2821" max="2821" width="16.4257812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28" width="13.42578125" customWidth="1"/>
    <col min="2829" max="2829" width="14.7109375" customWidth="1"/>
    <col min="2830" max="2830" width="17" customWidth="1"/>
    <col min="2831" max="2831" width="14.85546875" customWidth="1"/>
    <col min="2832" max="2832" width="17.28515625" customWidth="1"/>
    <col min="2833" max="2833" width="18" customWidth="1"/>
    <col min="2834" max="2834" width="14.28515625" customWidth="1"/>
    <col min="2835" max="2835" width="18.5703125" customWidth="1"/>
    <col min="2836" max="2836" width="13.85546875" customWidth="1"/>
    <col min="3074" max="3074" width="35.42578125" customWidth="1"/>
    <col min="3075" max="3075" width="18.28515625" customWidth="1"/>
    <col min="3076" max="3076" width="16.85546875" customWidth="1"/>
    <col min="3077" max="3077" width="16.4257812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4" width="13.42578125" customWidth="1"/>
    <col min="3085" max="3085" width="14.7109375" customWidth="1"/>
    <col min="3086" max="3086" width="17" customWidth="1"/>
    <col min="3087" max="3087" width="14.85546875" customWidth="1"/>
    <col min="3088" max="3088" width="17.28515625" customWidth="1"/>
    <col min="3089" max="3089" width="18" customWidth="1"/>
    <col min="3090" max="3090" width="14.28515625" customWidth="1"/>
    <col min="3091" max="3091" width="18.5703125" customWidth="1"/>
    <col min="3092" max="3092" width="13.85546875" customWidth="1"/>
    <col min="3330" max="3330" width="35.42578125" customWidth="1"/>
    <col min="3331" max="3331" width="18.28515625" customWidth="1"/>
    <col min="3332" max="3332" width="16.85546875" customWidth="1"/>
    <col min="3333" max="3333" width="16.4257812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0" width="13.42578125" customWidth="1"/>
    <col min="3341" max="3341" width="14.7109375" customWidth="1"/>
    <col min="3342" max="3342" width="17" customWidth="1"/>
    <col min="3343" max="3343" width="14.85546875" customWidth="1"/>
    <col min="3344" max="3344" width="17.28515625" customWidth="1"/>
    <col min="3345" max="3345" width="18" customWidth="1"/>
    <col min="3346" max="3346" width="14.28515625" customWidth="1"/>
    <col min="3347" max="3347" width="18.5703125" customWidth="1"/>
    <col min="3348" max="3348" width="13.85546875" customWidth="1"/>
    <col min="3586" max="3586" width="35.42578125" customWidth="1"/>
    <col min="3587" max="3587" width="18.28515625" customWidth="1"/>
    <col min="3588" max="3588" width="16.85546875" customWidth="1"/>
    <col min="3589" max="3589" width="16.4257812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6" width="13.42578125" customWidth="1"/>
    <col min="3597" max="3597" width="14.7109375" customWidth="1"/>
    <col min="3598" max="3598" width="17" customWidth="1"/>
    <col min="3599" max="3599" width="14.85546875" customWidth="1"/>
    <col min="3600" max="3600" width="17.28515625" customWidth="1"/>
    <col min="3601" max="3601" width="18" customWidth="1"/>
    <col min="3602" max="3602" width="14.28515625" customWidth="1"/>
    <col min="3603" max="3603" width="18.5703125" customWidth="1"/>
    <col min="3604" max="3604" width="13.85546875" customWidth="1"/>
    <col min="3842" max="3842" width="35.42578125" customWidth="1"/>
    <col min="3843" max="3843" width="18.28515625" customWidth="1"/>
    <col min="3844" max="3844" width="16.85546875" customWidth="1"/>
    <col min="3845" max="3845" width="16.4257812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2" width="13.42578125" customWidth="1"/>
    <col min="3853" max="3853" width="14.7109375" customWidth="1"/>
    <col min="3854" max="3854" width="17" customWidth="1"/>
    <col min="3855" max="3855" width="14.85546875" customWidth="1"/>
    <col min="3856" max="3856" width="17.28515625" customWidth="1"/>
    <col min="3857" max="3857" width="18" customWidth="1"/>
    <col min="3858" max="3858" width="14.28515625" customWidth="1"/>
    <col min="3859" max="3859" width="18.5703125" customWidth="1"/>
    <col min="3860" max="3860" width="13.85546875" customWidth="1"/>
    <col min="4098" max="4098" width="35.42578125" customWidth="1"/>
    <col min="4099" max="4099" width="18.28515625" customWidth="1"/>
    <col min="4100" max="4100" width="16.85546875" customWidth="1"/>
    <col min="4101" max="4101" width="16.4257812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08" width="13.42578125" customWidth="1"/>
    <col min="4109" max="4109" width="14.7109375" customWidth="1"/>
    <col min="4110" max="4110" width="17" customWidth="1"/>
    <col min="4111" max="4111" width="14.85546875" customWidth="1"/>
    <col min="4112" max="4112" width="17.28515625" customWidth="1"/>
    <col min="4113" max="4113" width="18" customWidth="1"/>
    <col min="4114" max="4114" width="14.28515625" customWidth="1"/>
    <col min="4115" max="4115" width="18.5703125" customWidth="1"/>
    <col min="4116" max="4116" width="13.85546875" customWidth="1"/>
    <col min="4354" max="4354" width="35.42578125" customWidth="1"/>
    <col min="4355" max="4355" width="18.28515625" customWidth="1"/>
    <col min="4356" max="4356" width="16.85546875" customWidth="1"/>
    <col min="4357" max="4357" width="16.4257812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4" width="13.42578125" customWidth="1"/>
    <col min="4365" max="4365" width="14.7109375" customWidth="1"/>
    <col min="4366" max="4366" width="17" customWidth="1"/>
    <col min="4367" max="4367" width="14.85546875" customWidth="1"/>
    <col min="4368" max="4368" width="17.28515625" customWidth="1"/>
    <col min="4369" max="4369" width="18" customWidth="1"/>
    <col min="4370" max="4370" width="14.28515625" customWidth="1"/>
    <col min="4371" max="4371" width="18.5703125" customWidth="1"/>
    <col min="4372" max="4372" width="13.85546875" customWidth="1"/>
    <col min="4610" max="4610" width="35.42578125" customWidth="1"/>
    <col min="4611" max="4611" width="18.28515625" customWidth="1"/>
    <col min="4612" max="4612" width="16.85546875" customWidth="1"/>
    <col min="4613" max="4613" width="16.4257812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0" width="13.42578125" customWidth="1"/>
    <col min="4621" max="4621" width="14.7109375" customWidth="1"/>
    <col min="4622" max="4622" width="17" customWidth="1"/>
    <col min="4623" max="4623" width="14.85546875" customWidth="1"/>
    <col min="4624" max="4624" width="17.28515625" customWidth="1"/>
    <col min="4625" max="4625" width="18" customWidth="1"/>
    <col min="4626" max="4626" width="14.28515625" customWidth="1"/>
    <col min="4627" max="4627" width="18.5703125" customWidth="1"/>
    <col min="4628" max="4628" width="13.85546875" customWidth="1"/>
    <col min="4866" max="4866" width="35.42578125" customWidth="1"/>
    <col min="4867" max="4867" width="18.28515625" customWidth="1"/>
    <col min="4868" max="4868" width="16.85546875" customWidth="1"/>
    <col min="4869" max="4869" width="16.4257812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6" width="13.42578125" customWidth="1"/>
    <col min="4877" max="4877" width="14.7109375" customWidth="1"/>
    <col min="4878" max="4878" width="17" customWidth="1"/>
    <col min="4879" max="4879" width="14.85546875" customWidth="1"/>
    <col min="4880" max="4880" width="17.28515625" customWidth="1"/>
    <col min="4881" max="4881" width="18" customWidth="1"/>
    <col min="4882" max="4882" width="14.28515625" customWidth="1"/>
    <col min="4883" max="4883" width="18.5703125" customWidth="1"/>
    <col min="4884" max="4884" width="13.85546875" customWidth="1"/>
    <col min="5122" max="5122" width="35.42578125" customWidth="1"/>
    <col min="5123" max="5123" width="18.28515625" customWidth="1"/>
    <col min="5124" max="5124" width="16.85546875" customWidth="1"/>
    <col min="5125" max="5125" width="16.4257812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2" width="13.42578125" customWidth="1"/>
    <col min="5133" max="5133" width="14.7109375" customWidth="1"/>
    <col min="5134" max="5134" width="17" customWidth="1"/>
    <col min="5135" max="5135" width="14.85546875" customWidth="1"/>
    <col min="5136" max="5136" width="17.28515625" customWidth="1"/>
    <col min="5137" max="5137" width="18" customWidth="1"/>
    <col min="5138" max="5138" width="14.28515625" customWidth="1"/>
    <col min="5139" max="5139" width="18.5703125" customWidth="1"/>
    <col min="5140" max="5140" width="13.85546875" customWidth="1"/>
    <col min="5378" max="5378" width="35.42578125" customWidth="1"/>
    <col min="5379" max="5379" width="18.28515625" customWidth="1"/>
    <col min="5380" max="5380" width="16.85546875" customWidth="1"/>
    <col min="5381" max="5381" width="16.4257812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88" width="13.42578125" customWidth="1"/>
    <col min="5389" max="5389" width="14.7109375" customWidth="1"/>
    <col min="5390" max="5390" width="17" customWidth="1"/>
    <col min="5391" max="5391" width="14.85546875" customWidth="1"/>
    <col min="5392" max="5392" width="17.28515625" customWidth="1"/>
    <col min="5393" max="5393" width="18" customWidth="1"/>
    <col min="5394" max="5394" width="14.28515625" customWidth="1"/>
    <col min="5395" max="5395" width="18.5703125" customWidth="1"/>
    <col min="5396" max="5396" width="13.85546875" customWidth="1"/>
    <col min="5634" max="5634" width="35.42578125" customWidth="1"/>
    <col min="5635" max="5635" width="18.28515625" customWidth="1"/>
    <col min="5636" max="5636" width="16.85546875" customWidth="1"/>
    <col min="5637" max="5637" width="16.4257812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4" width="13.42578125" customWidth="1"/>
    <col min="5645" max="5645" width="14.7109375" customWidth="1"/>
    <col min="5646" max="5646" width="17" customWidth="1"/>
    <col min="5647" max="5647" width="14.85546875" customWidth="1"/>
    <col min="5648" max="5648" width="17.28515625" customWidth="1"/>
    <col min="5649" max="5649" width="18" customWidth="1"/>
    <col min="5650" max="5650" width="14.28515625" customWidth="1"/>
    <col min="5651" max="5651" width="18.5703125" customWidth="1"/>
    <col min="5652" max="5652" width="13.85546875" customWidth="1"/>
    <col min="5890" max="5890" width="35.42578125" customWidth="1"/>
    <col min="5891" max="5891" width="18.28515625" customWidth="1"/>
    <col min="5892" max="5892" width="16.85546875" customWidth="1"/>
    <col min="5893" max="5893" width="16.4257812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0" width="13.42578125" customWidth="1"/>
    <col min="5901" max="5901" width="14.7109375" customWidth="1"/>
    <col min="5902" max="5902" width="17" customWidth="1"/>
    <col min="5903" max="5903" width="14.85546875" customWidth="1"/>
    <col min="5904" max="5904" width="17.28515625" customWidth="1"/>
    <col min="5905" max="5905" width="18" customWidth="1"/>
    <col min="5906" max="5906" width="14.28515625" customWidth="1"/>
    <col min="5907" max="5907" width="18.5703125" customWidth="1"/>
    <col min="5908" max="5908" width="13.85546875" customWidth="1"/>
    <col min="6146" max="6146" width="35.42578125" customWidth="1"/>
    <col min="6147" max="6147" width="18.28515625" customWidth="1"/>
    <col min="6148" max="6148" width="16.85546875" customWidth="1"/>
    <col min="6149" max="6149" width="16.4257812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6" width="13.42578125" customWidth="1"/>
    <col min="6157" max="6157" width="14.7109375" customWidth="1"/>
    <col min="6158" max="6158" width="17" customWidth="1"/>
    <col min="6159" max="6159" width="14.85546875" customWidth="1"/>
    <col min="6160" max="6160" width="17.28515625" customWidth="1"/>
    <col min="6161" max="6161" width="18" customWidth="1"/>
    <col min="6162" max="6162" width="14.28515625" customWidth="1"/>
    <col min="6163" max="6163" width="18.5703125" customWidth="1"/>
    <col min="6164" max="6164" width="13.85546875" customWidth="1"/>
    <col min="6402" max="6402" width="35.42578125" customWidth="1"/>
    <col min="6403" max="6403" width="18.28515625" customWidth="1"/>
    <col min="6404" max="6404" width="16.85546875" customWidth="1"/>
    <col min="6405" max="6405" width="16.4257812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2" width="13.42578125" customWidth="1"/>
    <col min="6413" max="6413" width="14.7109375" customWidth="1"/>
    <col min="6414" max="6414" width="17" customWidth="1"/>
    <col min="6415" max="6415" width="14.85546875" customWidth="1"/>
    <col min="6416" max="6416" width="17.28515625" customWidth="1"/>
    <col min="6417" max="6417" width="18" customWidth="1"/>
    <col min="6418" max="6418" width="14.28515625" customWidth="1"/>
    <col min="6419" max="6419" width="18.5703125" customWidth="1"/>
    <col min="6420" max="6420" width="13.85546875" customWidth="1"/>
    <col min="6658" max="6658" width="35.42578125" customWidth="1"/>
    <col min="6659" max="6659" width="18.28515625" customWidth="1"/>
    <col min="6660" max="6660" width="16.85546875" customWidth="1"/>
    <col min="6661" max="6661" width="16.4257812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68" width="13.42578125" customWidth="1"/>
    <col min="6669" max="6669" width="14.7109375" customWidth="1"/>
    <col min="6670" max="6670" width="17" customWidth="1"/>
    <col min="6671" max="6671" width="14.85546875" customWidth="1"/>
    <col min="6672" max="6672" width="17.28515625" customWidth="1"/>
    <col min="6673" max="6673" width="18" customWidth="1"/>
    <col min="6674" max="6674" width="14.28515625" customWidth="1"/>
    <col min="6675" max="6675" width="18.5703125" customWidth="1"/>
    <col min="6676" max="6676" width="13.85546875" customWidth="1"/>
    <col min="6914" max="6914" width="35.42578125" customWidth="1"/>
    <col min="6915" max="6915" width="18.28515625" customWidth="1"/>
    <col min="6916" max="6916" width="16.85546875" customWidth="1"/>
    <col min="6917" max="6917" width="16.4257812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4" width="13.42578125" customWidth="1"/>
    <col min="6925" max="6925" width="14.7109375" customWidth="1"/>
    <col min="6926" max="6926" width="17" customWidth="1"/>
    <col min="6927" max="6927" width="14.85546875" customWidth="1"/>
    <col min="6928" max="6928" width="17.28515625" customWidth="1"/>
    <col min="6929" max="6929" width="18" customWidth="1"/>
    <col min="6930" max="6930" width="14.28515625" customWidth="1"/>
    <col min="6931" max="6931" width="18.5703125" customWidth="1"/>
    <col min="6932" max="6932" width="13.85546875" customWidth="1"/>
    <col min="7170" max="7170" width="35.42578125" customWidth="1"/>
    <col min="7171" max="7171" width="18.28515625" customWidth="1"/>
    <col min="7172" max="7172" width="16.85546875" customWidth="1"/>
    <col min="7173" max="7173" width="16.4257812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0" width="13.42578125" customWidth="1"/>
    <col min="7181" max="7181" width="14.7109375" customWidth="1"/>
    <col min="7182" max="7182" width="17" customWidth="1"/>
    <col min="7183" max="7183" width="14.85546875" customWidth="1"/>
    <col min="7184" max="7184" width="17.28515625" customWidth="1"/>
    <col min="7185" max="7185" width="18" customWidth="1"/>
    <col min="7186" max="7186" width="14.28515625" customWidth="1"/>
    <col min="7187" max="7187" width="18.5703125" customWidth="1"/>
    <col min="7188" max="7188" width="13.85546875" customWidth="1"/>
    <col min="7426" max="7426" width="35.42578125" customWidth="1"/>
    <col min="7427" max="7427" width="18.28515625" customWidth="1"/>
    <col min="7428" max="7428" width="16.85546875" customWidth="1"/>
    <col min="7429" max="7429" width="16.4257812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6" width="13.42578125" customWidth="1"/>
    <col min="7437" max="7437" width="14.7109375" customWidth="1"/>
    <col min="7438" max="7438" width="17" customWidth="1"/>
    <col min="7439" max="7439" width="14.85546875" customWidth="1"/>
    <col min="7440" max="7440" width="17.28515625" customWidth="1"/>
    <col min="7441" max="7441" width="18" customWidth="1"/>
    <col min="7442" max="7442" width="14.28515625" customWidth="1"/>
    <col min="7443" max="7443" width="18.5703125" customWidth="1"/>
    <col min="7444" max="7444" width="13.85546875" customWidth="1"/>
    <col min="7682" max="7682" width="35.42578125" customWidth="1"/>
    <col min="7683" max="7683" width="18.28515625" customWidth="1"/>
    <col min="7684" max="7684" width="16.85546875" customWidth="1"/>
    <col min="7685" max="7685" width="16.4257812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2" width="13.42578125" customWidth="1"/>
    <col min="7693" max="7693" width="14.7109375" customWidth="1"/>
    <col min="7694" max="7694" width="17" customWidth="1"/>
    <col min="7695" max="7695" width="14.85546875" customWidth="1"/>
    <col min="7696" max="7696" width="17.28515625" customWidth="1"/>
    <col min="7697" max="7697" width="18" customWidth="1"/>
    <col min="7698" max="7698" width="14.28515625" customWidth="1"/>
    <col min="7699" max="7699" width="18.5703125" customWidth="1"/>
    <col min="7700" max="7700" width="13.85546875" customWidth="1"/>
    <col min="7938" max="7938" width="35.42578125" customWidth="1"/>
    <col min="7939" max="7939" width="18.28515625" customWidth="1"/>
    <col min="7940" max="7940" width="16.85546875" customWidth="1"/>
    <col min="7941" max="7941" width="16.4257812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48" width="13.42578125" customWidth="1"/>
    <col min="7949" max="7949" width="14.7109375" customWidth="1"/>
    <col min="7950" max="7950" width="17" customWidth="1"/>
    <col min="7951" max="7951" width="14.85546875" customWidth="1"/>
    <col min="7952" max="7952" width="17.28515625" customWidth="1"/>
    <col min="7953" max="7953" width="18" customWidth="1"/>
    <col min="7954" max="7954" width="14.28515625" customWidth="1"/>
    <col min="7955" max="7955" width="18.5703125" customWidth="1"/>
    <col min="7956" max="7956" width="13.85546875" customWidth="1"/>
    <col min="8194" max="8194" width="35.42578125" customWidth="1"/>
    <col min="8195" max="8195" width="18.28515625" customWidth="1"/>
    <col min="8196" max="8196" width="16.85546875" customWidth="1"/>
    <col min="8197" max="8197" width="16.4257812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4" width="13.42578125" customWidth="1"/>
    <col min="8205" max="8205" width="14.7109375" customWidth="1"/>
    <col min="8206" max="8206" width="17" customWidth="1"/>
    <col min="8207" max="8207" width="14.85546875" customWidth="1"/>
    <col min="8208" max="8208" width="17.28515625" customWidth="1"/>
    <col min="8209" max="8209" width="18" customWidth="1"/>
    <col min="8210" max="8210" width="14.28515625" customWidth="1"/>
    <col min="8211" max="8211" width="18.5703125" customWidth="1"/>
    <col min="8212" max="8212" width="13.85546875" customWidth="1"/>
    <col min="8450" max="8450" width="35.42578125" customWidth="1"/>
    <col min="8451" max="8451" width="18.28515625" customWidth="1"/>
    <col min="8452" max="8452" width="16.85546875" customWidth="1"/>
    <col min="8453" max="8453" width="16.4257812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0" width="13.42578125" customWidth="1"/>
    <col min="8461" max="8461" width="14.7109375" customWidth="1"/>
    <col min="8462" max="8462" width="17" customWidth="1"/>
    <col min="8463" max="8463" width="14.85546875" customWidth="1"/>
    <col min="8464" max="8464" width="17.28515625" customWidth="1"/>
    <col min="8465" max="8465" width="18" customWidth="1"/>
    <col min="8466" max="8466" width="14.28515625" customWidth="1"/>
    <col min="8467" max="8467" width="18.5703125" customWidth="1"/>
    <col min="8468" max="8468" width="13.85546875" customWidth="1"/>
    <col min="8706" max="8706" width="35.42578125" customWidth="1"/>
    <col min="8707" max="8707" width="18.28515625" customWidth="1"/>
    <col min="8708" max="8708" width="16.85546875" customWidth="1"/>
    <col min="8709" max="8709" width="16.4257812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6" width="13.42578125" customWidth="1"/>
    <col min="8717" max="8717" width="14.7109375" customWidth="1"/>
    <col min="8718" max="8718" width="17" customWidth="1"/>
    <col min="8719" max="8719" width="14.85546875" customWidth="1"/>
    <col min="8720" max="8720" width="17.28515625" customWidth="1"/>
    <col min="8721" max="8721" width="18" customWidth="1"/>
    <col min="8722" max="8722" width="14.28515625" customWidth="1"/>
    <col min="8723" max="8723" width="18.5703125" customWidth="1"/>
    <col min="8724" max="8724" width="13.85546875" customWidth="1"/>
    <col min="8962" max="8962" width="35.42578125" customWidth="1"/>
    <col min="8963" max="8963" width="18.28515625" customWidth="1"/>
    <col min="8964" max="8964" width="16.85546875" customWidth="1"/>
    <col min="8965" max="8965" width="16.4257812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2" width="13.42578125" customWidth="1"/>
    <col min="8973" max="8973" width="14.7109375" customWidth="1"/>
    <col min="8974" max="8974" width="17" customWidth="1"/>
    <col min="8975" max="8975" width="14.85546875" customWidth="1"/>
    <col min="8976" max="8976" width="17.28515625" customWidth="1"/>
    <col min="8977" max="8977" width="18" customWidth="1"/>
    <col min="8978" max="8978" width="14.28515625" customWidth="1"/>
    <col min="8979" max="8979" width="18.5703125" customWidth="1"/>
    <col min="8980" max="8980" width="13.85546875" customWidth="1"/>
    <col min="9218" max="9218" width="35.42578125" customWidth="1"/>
    <col min="9219" max="9219" width="18.28515625" customWidth="1"/>
    <col min="9220" max="9220" width="16.85546875" customWidth="1"/>
    <col min="9221" max="9221" width="16.4257812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28" width="13.42578125" customWidth="1"/>
    <col min="9229" max="9229" width="14.7109375" customWidth="1"/>
    <col min="9230" max="9230" width="17" customWidth="1"/>
    <col min="9231" max="9231" width="14.85546875" customWidth="1"/>
    <col min="9232" max="9232" width="17.28515625" customWidth="1"/>
    <col min="9233" max="9233" width="18" customWidth="1"/>
    <col min="9234" max="9234" width="14.28515625" customWidth="1"/>
    <col min="9235" max="9235" width="18.5703125" customWidth="1"/>
    <col min="9236" max="9236" width="13.85546875" customWidth="1"/>
    <col min="9474" max="9474" width="35.42578125" customWidth="1"/>
    <col min="9475" max="9475" width="18.28515625" customWidth="1"/>
    <col min="9476" max="9476" width="16.85546875" customWidth="1"/>
    <col min="9477" max="9477" width="16.4257812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4" width="13.42578125" customWidth="1"/>
    <col min="9485" max="9485" width="14.7109375" customWidth="1"/>
    <col min="9486" max="9486" width="17" customWidth="1"/>
    <col min="9487" max="9487" width="14.85546875" customWidth="1"/>
    <col min="9488" max="9488" width="17.28515625" customWidth="1"/>
    <col min="9489" max="9489" width="18" customWidth="1"/>
    <col min="9490" max="9490" width="14.28515625" customWidth="1"/>
    <col min="9491" max="9491" width="18.5703125" customWidth="1"/>
    <col min="9492" max="9492" width="13.85546875" customWidth="1"/>
    <col min="9730" max="9730" width="35.42578125" customWidth="1"/>
    <col min="9731" max="9731" width="18.28515625" customWidth="1"/>
    <col min="9732" max="9732" width="16.85546875" customWidth="1"/>
    <col min="9733" max="9733" width="16.4257812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0" width="13.42578125" customWidth="1"/>
    <col min="9741" max="9741" width="14.7109375" customWidth="1"/>
    <col min="9742" max="9742" width="17" customWidth="1"/>
    <col min="9743" max="9743" width="14.85546875" customWidth="1"/>
    <col min="9744" max="9744" width="17.28515625" customWidth="1"/>
    <col min="9745" max="9745" width="18" customWidth="1"/>
    <col min="9746" max="9746" width="14.28515625" customWidth="1"/>
    <col min="9747" max="9747" width="18.5703125" customWidth="1"/>
    <col min="9748" max="9748" width="13.85546875" customWidth="1"/>
    <col min="9986" max="9986" width="35.42578125" customWidth="1"/>
    <col min="9987" max="9987" width="18.28515625" customWidth="1"/>
    <col min="9988" max="9988" width="16.85546875" customWidth="1"/>
    <col min="9989" max="9989" width="16.4257812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6" width="13.42578125" customWidth="1"/>
    <col min="9997" max="9997" width="14.7109375" customWidth="1"/>
    <col min="9998" max="9998" width="17" customWidth="1"/>
    <col min="9999" max="9999" width="14.85546875" customWidth="1"/>
    <col min="10000" max="10000" width="17.28515625" customWidth="1"/>
    <col min="10001" max="10001" width="18" customWidth="1"/>
    <col min="10002" max="10002" width="14.28515625" customWidth="1"/>
    <col min="10003" max="10003" width="18.5703125" customWidth="1"/>
    <col min="10004" max="10004" width="13.85546875" customWidth="1"/>
    <col min="10242" max="10242" width="35.42578125" customWidth="1"/>
    <col min="10243" max="10243" width="18.28515625" customWidth="1"/>
    <col min="10244" max="10244" width="16.85546875" customWidth="1"/>
    <col min="10245" max="10245" width="16.4257812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2" width="13.42578125" customWidth="1"/>
    <col min="10253" max="10253" width="14.7109375" customWidth="1"/>
    <col min="10254" max="10254" width="17" customWidth="1"/>
    <col min="10255" max="10255" width="14.85546875" customWidth="1"/>
    <col min="10256" max="10256" width="17.28515625" customWidth="1"/>
    <col min="10257" max="10257" width="18" customWidth="1"/>
    <col min="10258" max="10258" width="14.28515625" customWidth="1"/>
    <col min="10259" max="10259" width="18.5703125" customWidth="1"/>
    <col min="10260" max="10260" width="13.85546875" customWidth="1"/>
    <col min="10498" max="10498" width="35.42578125" customWidth="1"/>
    <col min="10499" max="10499" width="18.28515625" customWidth="1"/>
    <col min="10500" max="10500" width="16.85546875" customWidth="1"/>
    <col min="10501" max="10501" width="16.4257812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08" width="13.42578125" customWidth="1"/>
    <col min="10509" max="10509" width="14.7109375" customWidth="1"/>
    <col min="10510" max="10510" width="17" customWidth="1"/>
    <col min="10511" max="10511" width="14.85546875" customWidth="1"/>
    <col min="10512" max="10512" width="17.28515625" customWidth="1"/>
    <col min="10513" max="10513" width="18" customWidth="1"/>
    <col min="10514" max="10514" width="14.28515625" customWidth="1"/>
    <col min="10515" max="10515" width="18.5703125" customWidth="1"/>
    <col min="10516" max="10516" width="13.85546875" customWidth="1"/>
    <col min="10754" max="10754" width="35.42578125" customWidth="1"/>
    <col min="10755" max="10755" width="18.28515625" customWidth="1"/>
    <col min="10756" max="10756" width="16.85546875" customWidth="1"/>
    <col min="10757" max="10757" width="16.4257812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4" width="13.42578125" customWidth="1"/>
    <col min="10765" max="10765" width="14.7109375" customWidth="1"/>
    <col min="10766" max="10766" width="17" customWidth="1"/>
    <col min="10767" max="10767" width="14.85546875" customWidth="1"/>
    <col min="10768" max="10768" width="17.28515625" customWidth="1"/>
    <col min="10769" max="10769" width="18" customWidth="1"/>
    <col min="10770" max="10770" width="14.28515625" customWidth="1"/>
    <col min="10771" max="10771" width="18.5703125" customWidth="1"/>
    <col min="10772" max="10772" width="13.85546875" customWidth="1"/>
    <col min="11010" max="11010" width="35.42578125" customWidth="1"/>
    <col min="11011" max="11011" width="18.28515625" customWidth="1"/>
    <col min="11012" max="11012" width="16.85546875" customWidth="1"/>
    <col min="11013" max="11013" width="16.4257812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0" width="13.42578125" customWidth="1"/>
    <col min="11021" max="11021" width="14.7109375" customWidth="1"/>
    <col min="11022" max="11022" width="17" customWidth="1"/>
    <col min="11023" max="11023" width="14.85546875" customWidth="1"/>
    <col min="11024" max="11024" width="17.28515625" customWidth="1"/>
    <col min="11025" max="11025" width="18" customWidth="1"/>
    <col min="11026" max="11026" width="14.28515625" customWidth="1"/>
    <col min="11027" max="11027" width="18.5703125" customWidth="1"/>
    <col min="11028" max="11028" width="13.85546875" customWidth="1"/>
    <col min="11266" max="11266" width="35.42578125" customWidth="1"/>
    <col min="11267" max="11267" width="18.28515625" customWidth="1"/>
    <col min="11268" max="11268" width="16.85546875" customWidth="1"/>
    <col min="11269" max="11269" width="16.4257812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6" width="13.42578125" customWidth="1"/>
    <col min="11277" max="11277" width="14.7109375" customWidth="1"/>
    <col min="11278" max="11278" width="17" customWidth="1"/>
    <col min="11279" max="11279" width="14.85546875" customWidth="1"/>
    <col min="11280" max="11280" width="17.28515625" customWidth="1"/>
    <col min="11281" max="11281" width="18" customWidth="1"/>
    <col min="11282" max="11282" width="14.28515625" customWidth="1"/>
    <col min="11283" max="11283" width="18.5703125" customWidth="1"/>
    <col min="11284" max="11284" width="13.85546875" customWidth="1"/>
    <col min="11522" max="11522" width="35.42578125" customWidth="1"/>
    <col min="11523" max="11523" width="18.28515625" customWidth="1"/>
    <col min="11524" max="11524" width="16.85546875" customWidth="1"/>
    <col min="11525" max="11525" width="16.4257812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2" width="13.42578125" customWidth="1"/>
    <col min="11533" max="11533" width="14.7109375" customWidth="1"/>
    <col min="11534" max="11534" width="17" customWidth="1"/>
    <col min="11535" max="11535" width="14.85546875" customWidth="1"/>
    <col min="11536" max="11536" width="17.28515625" customWidth="1"/>
    <col min="11537" max="11537" width="18" customWidth="1"/>
    <col min="11538" max="11538" width="14.28515625" customWidth="1"/>
    <col min="11539" max="11539" width="18.5703125" customWidth="1"/>
    <col min="11540" max="11540" width="13.85546875" customWidth="1"/>
    <col min="11778" max="11778" width="35.42578125" customWidth="1"/>
    <col min="11779" max="11779" width="18.28515625" customWidth="1"/>
    <col min="11780" max="11780" width="16.85546875" customWidth="1"/>
    <col min="11781" max="11781" width="16.4257812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88" width="13.42578125" customWidth="1"/>
    <col min="11789" max="11789" width="14.7109375" customWidth="1"/>
    <col min="11790" max="11790" width="17" customWidth="1"/>
    <col min="11791" max="11791" width="14.85546875" customWidth="1"/>
    <col min="11792" max="11792" width="17.28515625" customWidth="1"/>
    <col min="11793" max="11793" width="18" customWidth="1"/>
    <col min="11794" max="11794" width="14.28515625" customWidth="1"/>
    <col min="11795" max="11795" width="18.5703125" customWidth="1"/>
    <col min="11796" max="11796" width="13.85546875" customWidth="1"/>
    <col min="12034" max="12034" width="35.42578125" customWidth="1"/>
    <col min="12035" max="12035" width="18.28515625" customWidth="1"/>
    <col min="12036" max="12036" width="16.85546875" customWidth="1"/>
    <col min="12037" max="12037" width="16.4257812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4" width="13.42578125" customWidth="1"/>
    <col min="12045" max="12045" width="14.7109375" customWidth="1"/>
    <col min="12046" max="12046" width="17" customWidth="1"/>
    <col min="12047" max="12047" width="14.85546875" customWidth="1"/>
    <col min="12048" max="12048" width="17.28515625" customWidth="1"/>
    <col min="12049" max="12049" width="18" customWidth="1"/>
    <col min="12050" max="12050" width="14.28515625" customWidth="1"/>
    <col min="12051" max="12051" width="18.5703125" customWidth="1"/>
    <col min="12052" max="12052" width="13.85546875" customWidth="1"/>
    <col min="12290" max="12290" width="35.42578125" customWidth="1"/>
    <col min="12291" max="12291" width="18.28515625" customWidth="1"/>
    <col min="12292" max="12292" width="16.85546875" customWidth="1"/>
    <col min="12293" max="12293" width="16.4257812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0" width="13.42578125" customWidth="1"/>
    <col min="12301" max="12301" width="14.7109375" customWidth="1"/>
    <col min="12302" max="12302" width="17" customWidth="1"/>
    <col min="12303" max="12303" width="14.85546875" customWidth="1"/>
    <col min="12304" max="12304" width="17.28515625" customWidth="1"/>
    <col min="12305" max="12305" width="18" customWidth="1"/>
    <col min="12306" max="12306" width="14.28515625" customWidth="1"/>
    <col min="12307" max="12307" width="18.5703125" customWidth="1"/>
    <col min="12308" max="12308" width="13.85546875" customWidth="1"/>
    <col min="12546" max="12546" width="35.42578125" customWidth="1"/>
    <col min="12547" max="12547" width="18.28515625" customWidth="1"/>
    <col min="12548" max="12548" width="16.85546875" customWidth="1"/>
    <col min="12549" max="12549" width="16.4257812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6" width="13.42578125" customWidth="1"/>
    <col min="12557" max="12557" width="14.7109375" customWidth="1"/>
    <col min="12558" max="12558" width="17" customWidth="1"/>
    <col min="12559" max="12559" width="14.85546875" customWidth="1"/>
    <col min="12560" max="12560" width="17.28515625" customWidth="1"/>
    <col min="12561" max="12561" width="18" customWidth="1"/>
    <col min="12562" max="12562" width="14.28515625" customWidth="1"/>
    <col min="12563" max="12563" width="18.5703125" customWidth="1"/>
    <col min="12564" max="12564" width="13.85546875" customWidth="1"/>
    <col min="12802" max="12802" width="35.42578125" customWidth="1"/>
    <col min="12803" max="12803" width="18.28515625" customWidth="1"/>
    <col min="12804" max="12804" width="16.85546875" customWidth="1"/>
    <col min="12805" max="12805" width="16.4257812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2" width="13.42578125" customWidth="1"/>
    <col min="12813" max="12813" width="14.7109375" customWidth="1"/>
    <col min="12814" max="12814" width="17" customWidth="1"/>
    <col min="12815" max="12815" width="14.85546875" customWidth="1"/>
    <col min="12816" max="12816" width="17.28515625" customWidth="1"/>
    <col min="12817" max="12817" width="18" customWidth="1"/>
    <col min="12818" max="12818" width="14.28515625" customWidth="1"/>
    <col min="12819" max="12819" width="18.5703125" customWidth="1"/>
    <col min="12820" max="12820" width="13.85546875" customWidth="1"/>
    <col min="13058" max="13058" width="35.42578125" customWidth="1"/>
    <col min="13059" max="13059" width="18.28515625" customWidth="1"/>
    <col min="13060" max="13060" width="16.85546875" customWidth="1"/>
    <col min="13061" max="13061" width="16.4257812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68" width="13.42578125" customWidth="1"/>
    <col min="13069" max="13069" width="14.7109375" customWidth="1"/>
    <col min="13070" max="13070" width="17" customWidth="1"/>
    <col min="13071" max="13071" width="14.85546875" customWidth="1"/>
    <col min="13072" max="13072" width="17.28515625" customWidth="1"/>
    <col min="13073" max="13073" width="18" customWidth="1"/>
    <col min="13074" max="13074" width="14.28515625" customWidth="1"/>
    <col min="13075" max="13075" width="18.5703125" customWidth="1"/>
    <col min="13076" max="13076" width="13.85546875" customWidth="1"/>
    <col min="13314" max="13314" width="35.42578125" customWidth="1"/>
    <col min="13315" max="13315" width="18.28515625" customWidth="1"/>
    <col min="13316" max="13316" width="16.85546875" customWidth="1"/>
    <col min="13317" max="13317" width="16.4257812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4" width="13.42578125" customWidth="1"/>
    <col min="13325" max="13325" width="14.7109375" customWidth="1"/>
    <col min="13326" max="13326" width="17" customWidth="1"/>
    <col min="13327" max="13327" width="14.85546875" customWidth="1"/>
    <col min="13328" max="13328" width="17.28515625" customWidth="1"/>
    <col min="13329" max="13329" width="18" customWidth="1"/>
    <col min="13330" max="13330" width="14.28515625" customWidth="1"/>
    <col min="13331" max="13331" width="18.5703125" customWidth="1"/>
    <col min="13332" max="13332" width="13.85546875" customWidth="1"/>
    <col min="13570" max="13570" width="35.42578125" customWidth="1"/>
    <col min="13571" max="13571" width="18.28515625" customWidth="1"/>
    <col min="13572" max="13572" width="16.85546875" customWidth="1"/>
    <col min="13573" max="13573" width="16.4257812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0" width="13.42578125" customWidth="1"/>
    <col min="13581" max="13581" width="14.7109375" customWidth="1"/>
    <col min="13582" max="13582" width="17" customWidth="1"/>
    <col min="13583" max="13583" width="14.85546875" customWidth="1"/>
    <col min="13584" max="13584" width="17.28515625" customWidth="1"/>
    <col min="13585" max="13585" width="18" customWidth="1"/>
    <col min="13586" max="13586" width="14.28515625" customWidth="1"/>
    <col min="13587" max="13587" width="18.5703125" customWidth="1"/>
    <col min="13588" max="13588" width="13.85546875" customWidth="1"/>
    <col min="13826" max="13826" width="35.42578125" customWidth="1"/>
    <col min="13827" max="13827" width="18.28515625" customWidth="1"/>
    <col min="13828" max="13828" width="16.85546875" customWidth="1"/>
    <col min="13829" max="13829" width="16.4257812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6" width="13.42578125" customWidth="1"/>
    <col min="13837" max="13837" width="14.7109375" customWidth="1"/>
    <col min="13838" max="13838" width="17" customWidth="1"/>
    <col min="13839" max="13839" width="14.85546875" customWidth="1"/>
    <col min="13840" max="13840" width="17.28515625" customWidth="1"/>
    <col min="13841" max="13841" width="18" customWidth="1"/>
    <col min="13842" max="13842" width="14.28515625" customWidth="1"/>
    <col min="13843" max="13843" width="18.5703125" customWidth="1"/>
    <col min="13844" max="13844" width="13.85546875" customWidth="1"/>
    <col min="14082" max="14082" width="35.42578125" customWidth="1"/>
    <col min="14083" max="14083" width="18.28515625" customWidth="1"/>
    <col min="14084" max="14084" width="16.85546875" customWidth="1"/>
    <col min="14085" max="14085" width="16.4257812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2" width="13.42578125" customWidth="1"/>
    <col min="14093" max="14093" width="14.7109375" customWidth="1"/>
    <col min="14094" max="14094" width="17" customWidth="1"/>
    <col min="14095" max="14095" width="14.85546875" customWidth="1"/>
    <col min="14096" max="14096" width="17.28515625" customWidth="1"/>
    <col min="14097" max="14097" width="18" customWidth="1"/>
    <col min="14098" max="14098" width="14.28515625" customWidth="1"/>
    <col min="14099" max="14099" width="18.5703125" customWidth="1"/>
    <col min="14100" max="14100" width="13.85546875" customWidth="1"/>
    <col min="14338" max="14338" width="35.42578125" customWidth="1"/>
    <col min="14339" max="14339" width="18.28515625" customWidth="1"/>
    <col min="14340" max="14340" width="16.85546875" customWidth="1"/>
    <col min="14341" max="14341" width="16.4257812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48" width="13.42578125" customWidth="1"/>
    <col min="14349" max="14349" width="14.7109375" customWidth="1"/>
    <col min="14350" max="14350" width="17" customWidth="1"/>
    <col min="14351" max="14351" width="14.85546875" customWidth="1"/>
    <col min="14352" max="14352" width="17.28515625" customWidth="1"/>
    <col min="14353" max="14353" width="18" customWidth="1"/>
    <col min="14354" max="14354" width="14.28515625" customWidth="1"/>
    <col min="14355" max="14355" width="18.5703125" customWidth="1"/>
    <col min="14356" max="14356" width="13.85546875" customWidth="1"/>
    <col min="14594" max="14594" width="35.42578125" customWidth="1"/>
    <col min="14595" max="14595" width="18.28515625" customWidth="1"/>
    <col min="14596" max="14596" width="16.85546875" customWidth="1"/>
    <col min="14597" max="14597" width="16.4257812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4" width="13.42578125" customWidth="1"/>
    <col min="14605" max="14605" width="14.7109375" customWidth="1"/>
    <col min="14606" max="14606" width="17" customWidth="1"/>
    <col min="14607" max="14607" width="14.85546875" customWidth="1"/>
    <col min="14608" max="14608" width="17.28515625" customWidth="1"/>
    <col min="14609" max="14609" width="18" customWidth="1"/>
    <col min="14610" max="14610" width="14.28515625" customWidth="1"/>
    <col min="14611" max="14611" width="18.5703125" customWidth="1"/>
    <col min="14612" max="14612" width="13.85546875" customWidth="1"/>
    <col min="14850" max="14850" width="35.42578125" customWidth="1"/>
    <col min="14851" max="14851" width="18.28515625" customWidth="1"/>
    <col min="14852" max="14852" width="16.85546875" customWidth="1"/>
    <col min="14853" max="14853" width="16.4257812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0" width="13.42578125" customWidth="1"/>
    <col min="14861" max="14861" width="14.7109375" customWidth="1"/>
    <col min="14862" max="14862" width="17" customWidth="1"/>
    <col min="14863" max="14863" width="14.85546875" customWidth="1"/>
    <col min="14864" max="14864" width="17.28515625" customWidth="1"/>
    <col min="14865" max="14865" width="18" customWidth="1"/>
    <col min="14866" max="14866" width="14.28515625" customWidth="1"/>
    <col min="14867" max="14867" width="18.5703125" customWidth="1"/>
    <col min="14868" max="14868" width="13.85546875" customWidth="1"/>
    <col min="15106" max="15106" width="35.42578125" customWidth="1"/>
    <col min="15107" max="15107" width="18.28515625" customWidth="1"/>
    <col min="15108" max="15108" width="16.85546875" customWidth="1"/>
    <col min="15109" max="15109" width="16.4257812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6" width="13.42578125" customWidth="1"/>
    <col min="15117" max="15117" width="14.7109375" customWidth="1"/>
    <col min="15118" max="15118" width="17" customWidth="1"/>
    <col min="15119" max="15119" width="14.85546875" customWidth="1"/>
    <col min="15120" max="15120" width="17.28515625" customWidth="1"/>
    <col min="15121" max="15121" width="18" customWidth="1"/>
    <col min="15122" max="15122" width="14.28515625" customWidth="1"/>
    <col min="15123" max="15123" width="18.5703125" customWidth="1"/>
    <col min="15124" max="15124" width="13.85546875" customWidth="1"/>
    <col min="15362" max="15362" width="35.42578125" customWidth="1"/>
    <col min="15363" max="15363" width="18.28515625" customWidth="1"/>
    <col min="15364" max="15364" width="16.85546875" customWidth="1"/>
    <col min="15365" max="15365" width="16.4257812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2" width="13.42578125" customWidth="1"/>
    <col min="15373" max="15373" width="14.7109375" customWidth="1"/>
    <col min="15374" max="15374" width="17" customWidth="1"/>
    <col min="15375" max="15375" width="14.85546875" customWidth="1"/>
    <col min="15376" max="15376" width="17.28515625" customWidth="1"/>
    <col min="15377" max="15377" width="18" customWidth="1"/>
    <col min="15378" max="15378" width="14.28515625" customWidth="1"/>
    <col min="15379" max="15379" width="18.5703125" customWidth="1"/>
    <col min="15380" max="15380" width="13.85546875" customWidth="1"/>
    <col min="15618" max="15618" width="35.42578125" customWidth="1"/>
    <col min="15619" max="15619" width="18.28515625" customWidth="1"/>
    <col min="15620" max="15620" width="16.85546875" customWidth="1"/>
    <col min="15621" max="15621" width="16.4257812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28" width="13.42578125" customWidth="1"/>
    <col min="15629" max="15629" width="14.7109375" customWidth="1"/>
    <col min="15630" max="15630" width="17" customWidth="1"/>
    <col min="15631" max="15631" width="14.85546875" customWidth="1"/>
    <col min="15632" max="15632" width="17.28515625" customWidth="1"/>
    <col min="15633" max="15633" width="18" customWidth="1"/>
    <col min="15634" max="15634" width="14.28515625" customWidth="1"/>
    <col min="15635" max="15635" width="18.5703125" customWidth="1"/>
    <col min="15636" max="15636" width="13.85546875" customWidth="1"/>
    <col min="15874" max="15874" width="35.42578125" customWidth="1"/>
    <col min="15875" max="15875" width="18.28515625" customWidth="1"/>
    <col min="15876" max="15876" width="16.85546875" customWidth="1"/>
    <col min="15877" max="15877" width="16.4257812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4" width="13.42578125" customWidth="1"/>
    <col min="15885" max="15885" width="14.7109375" customWidth="1"/>
    <col min="15886" max="15886" width="17" customWidth="1"/>
    <col min="15887" max="15887" width="14.85546875" customWidth="1"/>
    <col min="15888" max="15888" width="17.28515625" customWidth="1"/>
    <col min="15889" max="15889" width="18" customWidth="1"/>
    <col min="15890" max="15890" width="14.28515625" customWidth="1"/>
    <col min="15891" max="15891" width="18.5703125" customWidth="1"/>
    <col min="15892" max="15892" width="13.85546875" customWidth="1"/>
    <col min="16130" max="16130" width="35.42578125" customWidth="1"/>
    <col min="16131" max="16131" width="18.28515625" customWidth="1"/>
    <col min="16132" max="16132" width="16.85546875" customWidth="1"/>
    <col min="16133" max="16133" width="16.4257812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0" width="13.42578125" customWidth="1"/>
    <col min="16141" max="16141" width="14.7109375" customWidth="1"/>
    <col min="16142" max="16142" width="17" customWidth="1"/>
    <col min="16143" max="16143" width="14.85546875" customWidth="1"/>
    <col min="16144" max="16144" width="17.28515625" customWidth="1"/>
    <col min="16145" max="16145" width="18" customWidth="1"/>
    <col min="16146" max="16146" width="14.28515625" customWidth="1"/>
    <col min="16147" max="16147" width="18.5703125" customWidth="1"/>
    <col min="16148" max="16148" width="13.85546875" customWidth="1"/>
  </cols>
  <sheetData>
    <row r="1" spans="1:23" s="51" customFormat="1" ht="31.5" x14ac:dyDescent="0.5">
      <c r="A1" s="50" t="s">
        <v>0</v>
      </c>
      <c r="J1" s="50" t="s">
        <v>62</v>
      </c>
    </row>
    <row r="2" spans="1:23" ht="7.5" customHeight="1" x14ac:dyDescent="0.3">
      <c r="A2" s="1"/>
    </row>
    <row r="3" spans="1:23" ht="9.75" customHeight="1" x14ac:dyDescent="0.25"/>
    <row r="4" spans="1:23" s="3" customFormat="1" ht="52.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3" s="7" customFormat="1" ht="18.75" x14ac:dyDescent="0.3">
      <c r="A5" s="4">
        <v>1</v>
      </c>
      <c r="B5" s="5" t="s">
        <v>21</v>
      </c>
      <c r="C5" s="6">
        <v>2793248.27</v>
      </c>
      <c r="D5" s="6"/>
      <c r="E5" s="6">
        <v>2793248.27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3" s="11" customFormat="1" ht="37.5" x14ac:dyDescent="0.3">
      <c r="A6" s="8">
        <v>2</v>
      </c>
      <c r="B6" s="9" t="s">
        <v>22</v>
      </c>
      <c r="C6" s="10">
        <f>SUM(D6:T6)</f>
        <v>13913537.609999998</v>
      </c>
      <c r="D6" s="10">
        <f>SUM(D7:D18)</f>
        <v>433579.95</v>
      </c>
      <c r="E6" s="10">
        <f>SUM(E7:E18)</f>
        <v>1849223.94</v>
      </c>
      <c r="F6" s="10">
        <f>SUM(F7:F18)</f>
        <v>162354.83000000002</v>
      </c>
      <c r="G6" s="10">
        <f t="shared" ref="E6:T6" si="0">SUM(G7:G18)</f>
        <v>262162.79000000004</v>
      </c>
      <c r="H6" s="10">
        <f t="shared" si="0"/>
        <v>730614.46</v>
      </c>
      <c r="I6" s="10">
        <f t="shared" si="0"/>
        <v>140220.34</v>
      </c>
      <c r="J6" s="10">
        <f t="shared" si="0"/>
        <v>22049.460000000003</v>
      </c>
      <c r="K6" s="10">
        <f t="shared" si="0"/>
        <v>115357.05</v>
      </c>
      <c r="L6" s="10">
        <f t="shared" si="0"/>
        <v>36212.549999999996</v>
      </c>
      <c r="M6" s="10">
        <f t="shared" si="0"/>
        <v>366832.84</v>
      </c>
      <c r="N6" s="10">
        <f t="shared" si="0"/>
        <v>4269740.42</v>
      </c>
      <c r="O6" s="10">
        <f t="shared" si="0"/>
        <v>604558.78</v>
      </c>
      <c r="P6" s="10">
        <f t="shared" si="0"/>
        <v>496433.71</v>
      </c>
      <c r="Q6" s="10">
        <f t="shared" si="0"/>
        <v>1636048.37</v>
      </c>
      <c r="R6" s="10">
        <f t="shared" si="0"/>
        <v>256781.19</v>
      </c>
      <c r="S6" s="10">
        <f t="shared" si="0"/>
        <v>1860211.4199999997</v>
      </c>
      <c r="T6" s="10">
        <f t="shared" si="0"/>
        <v>671155.51000000013</v>
      </c>
      <c r="W6" s="62"/>
    </row>
    <row r="7" spans="1:23" s="7" customFormat="1" ht="18.75" x14ac:dyDescent="0.3">
      <c r="A7" s="4"/>
      <c r="B7" s="12">
        <v>43101</v>
      </c>
      <c r="C7" s="6">
        <f t="shared" ref="C6:C31" si="1">SUM(D7:T7)</f>
        <v>1477721.0199999996</v>
      </c>
      <c r="D7" s="6">
        <v>36067.879999999997</v>
      </c>
      <c r="E7" s="6">
        <v>153477</v>
      </c>
      <c r="F7" s="6">
        <v>13505.87</v>
      </c>
      <c r="G7" s="6">
        <f>7980.91+1332+13807.08</f>
        <v>23119.989999999998</v>
      </c>
      <c r="H7" s="6">
        <v>60777.120000000003</v>
      </c>
      <c r="I7" s="6">
        <v>11664.48</v>
      </c>
      <c r="J7" s="6">
        <v>1796.02</v>
      </c>
      <c r="K7" s="6">
        <v>9394.24</v>
      </c>
      <c r="L7" s="6">
        <v>2949.17</v>
      </c>
      <c r="M7" s="6">
        <v>29786.12</v>
      </c>
      <c r="N7" s="6">
        <v>638853.44999999995</v>
      </c>
      <c r="O7" s="6">
        <v>48277.2</v>
      </c>
      <c r="P7" s="6">
        <v>39643.01</v>
      </c>
      <c r="Q7" s="6">
        <v>150744.17000000001</v>
      </c>
      <c r="R7" s="6">
        <v>23660.28</v>
      </c>
      <c r="S7" s="6">
        <v>167796.62</v>
      </c>
      <c r="T7" s="6">
        <v>66208.399999999994</v>
      </c>
    </row>
    <row r="8" spans="1:23" s="7" customFormat="1" ht="18.75" x14ac:dyDescent="0.3">
      <c r="A8" s="4"/>
      <c r="B8" s="12">
        <v>43132</v>
      </c>
      <c r="C8" s="6">
        <f t="shared" si="1"/>
        <v>1708349.1600000001</v>
      </c>
      <c r="D8" s="6">
        <v>36067.879999999997</v>
      </c>
      <c r="E8" s="6">
        <v>153477</v>
      </c>
      <c r="F8" s="6">
        <v>13505.87</v>
      </c>
      <c r="G8" s="6">
        <f>7980.91+1332+13807.08</f>
        <v>23119.989999999998</v>
      </c>
      <c r="H8" s="6">
        <v>60777.120000000003</v>
      </c>
      <c r="I8" s="6">
        <v>11664.48</v>
      </c>
      <c r="J8" s="6">
        <v>1796.02</v>
      </c>
      <c r="K8" s="6">
        <v>9394.24</v>
      </c>
      <c r="L8" s="6">
        <v>2949.17</v>
      </c>
      <c r="M8" s="6">
        <v>29786.12</v>
      </c>
      <c r="N8" s="6">
        <v>850119.01</v>
      </c>
      <c r="O8" s="6">
        <v>46630.54</v>
      </c>
      <c r="P8" s="6">
        <v>38290.879999999997</v>
      </c>
      <c r="Q8" s="6">
        <v>162693.54999999999</v>
      </c>
      <c r="R8" s="6">
        <v>25535.84</v>
      </c>
      <c r="S8" s="6">
        <v>163698.6</v>
      </c>
      <c r="T8" s="6">
        <v>78842.850000000006</v>
      </c>
    </row>
    <row r="9" spans="1:23" s="7" customFormat="1" ht="18.75" x14ac:dyDescent="0.3">
      <c r="A9" s="4"/>
      <c r="B9" s="12">
        <v>43160</v>
      </c>
      <c r="C9" s="6">
        <f t="shared" si="1"/>
        <v>1551113.1399999997</v>
      </c>
      <c r="D9" s="6">
        <v>36073.93</v>
      </c>
      <c r="E9" s="6">
        <v>153502.89000000001</v>
      </c>
      <c r="F9" s="6">
        <v>13508.1</v>
      </c>
      <c r="G9" s="6">
        <f>7982.21+1332.23+9878.09</f>
        <v>19192.53</v>
      </c>
      <c r="H9" s="6">
        <v>60787.25</v>
      </c>
      <c r="I9" s="6">
        <v>11666.43</v>
      </c>
      <c r="J9" s="6">
        <v>1796.36</v>
      </c>
      <c r="K9" s="6">
        <v>9395.7800000000007</v>
      </c>
      <c r="L9" s="6">
        <v>2949.67</v>
      </c>
      <c r="M9" s="6">
        <v>29791.08</v>
      </c>
      <c r="N9" s="6">
        <v>751607.15</v>
      </c>
      <c r="O9" s="6">
        <v>49258.46</v>
      </c>
      <c r="P9" s="6">
        <v>40448.79</v>
      </c>
      <c r="Q9" s="6">
        <v>129081.38</v>
      </c>
      <c r="R9" s="6">
        <v>20260.150000000001</v>
      </c>
      <c r="S9" s="6">
        <v>155668.79999999999</v>
      </c>
      <c r="T9" s="6">
        <v>66124.39</v>
      </c>
    </row>
    <row r="10" spans="1:23" s="38" customFormat="1" ht="18.75" x14ac:dyDescent="0.3">
      <c r="A10" s="35"/>
      <c r="B10" s="36">
        <v>43191</v>
      </c>
      <c r="C10" s="37">
        <f t="shared" si="1"/>
        <v>1192499.04</v>
      </c>
      <c r="D10" s="37">
        <v>36106.230000000003</v>
      </c>
      <c r="E10" s="37">
        <f>153640.42</f>
        <v>153640.42000000001</v>
      </c>
      <c r="F10" s="37">
        <v>13520.19</v>
      </c>
      <c r="G10" s="37">
        <f>7989.46+1332.1+12511.56</f>
        <v>21833.119999999999</v>
      </c>
      <c r="H10" s="37">
        <v>60841.7</v>
      </c>
      <c r="I10" s="37">
        <v>11676.87</v>
      </c>
      <c r="J10" s="37">
        <v>1797.87</v>
      </c>
      <c r="K10" s="37">
        <v>9404.26</v>
      </c>
      <c r="L10" s="37">
        <v>2952.31</v>
      </c>
      <c r="M10" s="37">
        <v>29817.77</v>
      </c>
      <c r="N10" s="37">
        <f>451067.35+748.08</f>
        <v>451815.43</v>
      </c>
      <c r="O10" s="37">
        <f>42345.3+52.81</f>
        <v>42398.11</v>
      </c>
      <c r="P10" s="37">
        <f>34772+43.41</f>
        <v>34815.410000000003</v>
      </c>
      <c r="Q10" s="37">
        <f>115675.37+267.99</f>
        <v>115943.36</v>
      </c>
      <c r="R10" s="37">
        <f>18156.06+42.07</f>
        <v>18198.13</v>
      </c>
      <c r="S10" s="37">
        <f>115112.52+171.69</f>
        <v>115284.21</v>
      </c>
      <c r="T10" s="37">
        <f>72384.18+69.47</f>
        <v>72453.649999999994</v>
      </c>
    </row>
    <row r="11" spans="1:23" s="7" customFormat="1" ht="18.75" x14ac:dyDescent="0.3">
      <c r="A11" s="4"/>
      <c r="B11" s="12">
        <v>43221</v>
      </c>
      <c r="C11" s="6">
        <f t="shared" si="1"/>
        <v>793290.76999999979</v>
      </c>
      <c r="D11" s="6">
        <v>36134.370000000003</v>
      </c>
      <c r="E11" s="6">
        <v>153760.28</v>
      </c>
      <c r="F11" s="6">
        <v>13530.73</v>
      </c>
      <c r="G11" s="6">
        <f>7995.72+1332.23+12521.02</f>
        <v>21848.97</v>
      </c>
      <c r="H11" s="6">
        <v>60889.2</v>
      </c>
      <c r="I11" s="6">
        <v>11685.97</v>
      </c>
      <c r="J11" s="6">
        <v>1799.24</v>
      </c>
      <c r="K11" s="6">
        <v>9411.51</v>
      </c>
      <c r="L11" s="6">
        <v>2954.54</v>
      </c>
      <c r="M11" s="6">
        <v>29841</v>
      </c>
      <c r="N11" s="6">
        <v>1444.99</v>
      </c>
      <c r="O11" s="6">
        <f>114.32+48495.57</f>
        <v>48609.89</v>
      </c>
      <c r="P11" s="6">
        <f>94.26+39822.34</f>
        <v>39916.6</v>
      </c>
      <c r="Q11" s="6">
        <f>454.97+136809.1</f>
        <v>137264.07</v>
      </c>
      <c r="R11" s="6">
        <f>71.73+21473.06</f>
        <v>21544.79</v>
      </c>
      <c r="S11" s="6">
        <f>372.82+138917.36</f>
        <v>139290.18</v>
      </c>
      <c r="T11" s="6">
        <f>124.64+63239.8</f>
        <v>63364.44</v>
      </c>
    </row>
    <row r="12" spans="1:23" s="7" customFormat="1" ht="18.75" x14ac:dyDescent="0.3">
      <c r="A12" s="4"/>
      <c r="B12" s="12">
        <v>43252</v>
      </c>
      <c r="C12" s="6">
        <f>SUM(D12:T12)</f>
        <v>823957.27</v>
      </c>
      <c r="D12" s="6">
        <v>36089.99</v>
      </c>
      <c r="E12" s="6">
        <f>0.51+153741.23</f>
        <v>153741.74000000002</v>
      </c>
      <c r="F12" s="6">
        <v>13514.09</v>
      </c>
      <c r="G12" s="6">
        <f>7985.18+1332.6+12502.89</f>
        <v>21820.67</v>
      </c>
      <c r="H12" s="6">
        <v>60814.3</v>
      </c>
      <c r="I12" s="6">
        <v>11671.65</v>
      </c>
      <c r="J12" s="6">
        <v>1797.11</v>
      </c>
      <c r="K12" s="6">
        <v>9399.94</v>
      </c>
      <c r="L12" s="6">
        <v>2950.96</v>
      </c>
      <c r="M12" s="6">
        <v>29804.22</v>
      </c>
      <c r="N12" s="6">
        <v>23.24</v>
      </c>
      <c r="O12" s="6">
        <f>15+51598.44</f>
        <v>51613.440000000002</v>
      </c>
      <c r="P12" s="6">
        <f>12.42+42370.25</f>
        <v>42382.67</v>
      </c>
      <c r="Q12" s="6">
        <f>30.88+144031.24</f>
        <v>144062.12</v>
      </c>
      <c r="R12" s="6">
        <f>6.43+22607.19</f>
        <v>22613.62</v>
      </c>
      <c r="S12" s="6">
        <f>54.55+156649.73</f>
        <v>156704.28</v>
      </c>
      <c r="T12" s="6">
        <f>19.01+64934.22</f>
        <v>64953.23</v>
      </c>
    </row>
    <row r="13" spans="1:23" s="7" customFormat="1" ht="18.75" x14ac:dyDescent="0.3">
      <c r="A13" s="4"/>
      <c r="B13" s="12">
        <v>43282</v>
      </c>
      <c r="C13" s="6">
        <f t="shared" si="1"/>
        <v>811956.75</v>
      </c>
      <c r="D13" s="6">
        <v>36095.1</v>
      </c>
      <c r="E13" s="6">
        <v>153592.5</v>
      </c>
      <c r="F13" s="6">
        <v>13516.04</v>
      </c>
      <c r="G13" s="6">
        <f>7986.52+1332+12505.14</f>
        <v>21823.66</v>
      </c>
      <c r="H13" s="6">
        <v>60822.95</v>
      </c>
      <c r="I13" s="6">
        <v>11673.28</v>
      </c>
      <c r="J13" s="6">
        <v>1873.89</v>
      </c>
      <c r="K13" s="6">
        <v>9805.69</v>
      </c>
      <c r="L13" s="6">
        <v>3077.97</v>
      </c>
      <c r="M13" s="6">
        <v>31268.93</v>
      </c>
      <c r="N13" s="6"/>
      <c r="O13" s="6">
        <v>55228.55</v>
      </c>
      <c r="P13" s="6">
        <v>45350.559999999998</v>
      </c>
      <c r="Q13" s="6">
        <v>112296.16</v>
      </c>
      <c r="R13" s="6">
        <v>17623.59</v>
      </c>
      <c r="S13" s="6">
        <v>174337.72</v>
      </c>
      <c r="T13" s="6">
        <f>20.18+63549.98</f>
        <v>63570.16</v>
      </c>
    </row>
    <row r="14" spans="1:23" s="7" customFormat="1" ht="18.75" x14ac:dyDescent="0.3">
      <c r="A14" s="4"/>
      <c r="B14" s="12">
        <v>43313</v>
      </c>
      <c r="C14" s="6">
        <f t="shared" si="1"/>
        <v>781358.5199999999</v>
      </c>
      <c r="D14" s="6">
        <v>36131.65</v>
      </c>
      <c r="E14" s="6">
        <v>153748.65</v>
      </c>
      <c r="F14" s="6">
        <v>13529.69</v>
      </c>
      <c r="G14" s="6">
        <f>7995.15+1332+12517.23</f>
        <v>21844.379999999997</v>
      </c>
      <c r="H14" s="6">
        <v>60884.639999999999</v>
      </c>
      <c r="I14" s="6">
        <v>11685.08</v>
      </c>
      <c r="J14" s="6">
        <v>1875.72</v>
      </c>
      <c r="K14" s="6">
        <v>9815.2000000000007</v>
      </c>
      <c r="L14" s="6">
        <v>3080.99</v>
      </c>
      <c r="M14" s="6">
        <v>31299.14</v>
      </c>
      <c r="N14" s="6"/>
      <c r="O14" s="6">
        <v>51567.58</v>
      </c>
      <c r="P14" s="6">
        <v>42344.43</v>
      </c>
      <c r="Q14" s="6">
        <v>111926.1</v>
      </c>
      <c r="R14" s="6">
        <v>17566.189999999999</v>
      </c>
      <c r="S14" s="6">
        <v>152264.34</v>
      </c>
      <c r="T14" s="6">
        <f>30.4+61764.34</f>
        <v>61794.74</v>
      </c>
    </row>
    <row r="15" spans="1:23" s="7" customFormat="1" ht="18.75" x14ac:dyDescent="0.3">
      <c r="A15" s="4"/>
      <c r="B15" s="12">
        <v>43344</v>
      </c>
      <c r="C15" s="6">
        <f t="shared" si="1"/>
        <v>841776.57000000007</v>
      </c>
      <c r="D15" s="6">
        <v>36147.050000000003</v>
      </c>
      <c r="E15" s="6">
        <v>153814.26999999999</v>
      </c>
      <c r="F15" s="6">
        <v>13535.22</v>
      </c>
      <c r="G15" s="6">
        <f>7998.11+1332.33+12521.62</f>
        <v>21852.059999999998</v>
      </c>
      <c r="H15" s="6">
        <v>60910.34</v>
      </c>
      <c r="I15" s="6">
        <v>11690.06</v>
      </c>
      <c r="J15" s="6">
        <v>1876.4</v>
      </c>
      <c r="K15" s="6">
        <v>9819.11</v>
      </c>
      <c r="L15" s="6">
        <v>3082.21</v>
      </c>
      <c r="M15" s="6">
        <v>31311.51</v>
      </c>
      <c r="N15" s="6"/>
      <c r="O15" s="6">
        <v>57866.2</v>
      </c>
      <c r="P15" s="6">
        <f>47516.57</f>
        <v>47516.57</v>
      </c>
      <c r="Q15" s="6">
        <v>139720.07</v>
      </c>
      <c r="R15" s="6">
        <v>21928.33</v>
      </c>
      <c r="S15" s="6">
        <v>166341.35999999999</v>
      </c>
      <c r="T15" s="6">
        <f>53.23+64312.58</f>
        <v>64365.810000000005</v>
      </c>
    </row>
    <row r="16" spans="1:23" s="7" customFormat="1" ht="18.75" x14ac:dyDescent="0.3">
      <c r="A16" s="4"/>
      <c r="B16" s="12">
        <v>43374</v>
      </c>
      <c r="C16" s="6">
        <f t="shared" si="1"/>
        <v>1108210.4099999997</v>
      </c>
      <c r="D16" s="6">
        <v>36209.31</v>
      </c>
      <c r="E16" s="6">
        <v>154045.04999999999</v>
      </c>
      <c r="F16" s="6">
        <v>13558.03</v>
      </c>
      <c r="G16" s="6">
        <f>8013.07+1334.05+12548.63</f>
        <v>21895.75</v>
      </c>
      <c r="H16" s="6">
        <v>61014.94</v>
      </c>
      <c r="I16" s="6">
        <v>11709.7</v>
      </c>
      <c r="J16" s="6">
        <v>1879.56</v>
      </c>
      <c r="K16" s="6">
        <v>9835.32</v>
      </c>
      <c r="L16" s="6">
        <v>3087.4</v>
      </c>
      <c r="M16" s="6">
        <v>31364.32</v>
      </c>
      <c r="N16" s="6">
        <v>287465.05</v>
      </c>
      <c r="O16" s="6">
        <v>50407.85</v>
      </c>
      <c r="P16" s="6">
        <v>41392.199999999997</v>
      </c>
      <c r="Q16" s="6">
        <v>141621.54999999999</v>
      </c>
      <c r="R16" s="6">
        <v>22226.83</v>
      </c>
      <c r="S16" s="6">
        <v>151506.9</v>
      </c>
      <c r="T16" s="6">
        <f>24.35+68966.3</f>
        <v>68990.650000000009</v>
      </c>
    </row>
    <row r="17" spans="1:20" s="7" customFormat="1" ht="18.75" x14ac:dyDescent="0.3">
      <c r="A17" s="4"/>
      <c r="B17" s="12">
        <v>43405</v>
      </c>
      <c r="C17" s="6">
        <f t="shared" si="1"/>
        <v>1308511.49</v>
      </c>
      <c r="D17" s="6">
        <v>36229.94</v>
      </c>
      <c r="E17" s="6">
        <v>156163.41</v>
      </c>
      <c r="F17" s="6">
        <v>13565.67</v>
      </c>
      <c r="G17" s="6">
        <f>8017.38+1333.63+12555.72</f>
        <v>21906.73</v>
      </c>
      <c r="H17" s="6">
        <v>61050.34</v>
      </c>
      <c r="I17" s="6">
        <v>11716.46</v>
      </c>
      <c r="J17" s="6">
        <v>1880.68</v>
      </c>
      <c r="K17" s="6">
        <v>9841.11</v>
      </c>
      <c r="L17" s="6">
        <v>3089.14</v>
      </c>
      <c r="M17" s="6">
        <v>31382.67</v>
      </c>
      <c r="N17" s="6">
        <v>549363.51</v>
      </c>
      <c r="O17" s="6">
        <v>50049.4</v>
      </c>
      <c r="P17" s="6">
        <v>41097.89</v>
      </c>
      <c r="Q17" s="6">
        <v>138634.41</v>
      </c>
      <c r="R17" s="6">
        <v>21757.99</v>
      </c>
      <c r="S17" s="6">
        <v>160568.38</v>
      </c>
      <c r="T17" s="6">
        <f>20.76+193</f>
        <v>213.76</v>
      </c>
    </row>
    <row r="18" spans="1:20" s="7" customFormat="1" ht="18.75" x14ac:dyDescent="0.3">
      <c r="A18" s="4"/>
      <c r="B18" s="12">
        <v>43435</v>
      </c>
      <c r="C18" s="6">
        <f t="shared" si="1"/>
        <v>1514793.47</v>
      </c>
      <c r="D18" s="6">
        <v>36226.620000000003</v>
      </c>
      <c r="E18" s="6">
        <v>156260.73000000001</v>
      </c>
      <c r="F18" s="6">
        <v>13565.33</v>
      </c>
      <c r="G18" s="6">
        <f>8016.91+1333.69+12554.34</f>
        <v>21904.940000000002</v>
      </c>
      <c r="H18" s="6">
        <v>61044.56</v>
      </c>
      <c r="I18" s="6">
        <v>11715.88</v>
      </c>
      <c r="J18" s="6">
        <v>1880.59</v>
      </c>
      <c r="K18" s="6">
        <v>9840.65</v>
      </c>
      <c r="L18" s="6">
        <v>3089.02</v>
      </c>
      <c r="M18" s="6">
        <v>31379.96</v>
      </c>
      <c r="N18" s="6">
        <v>739048.59</v>
      </c>
      <c r="O18" s="6">
        <v>52651.56</v>
      </c>
      <c r="P18" s="6">
        <v>43234.7</v>
      </c>
      <c r="Q18" s="6">
        <v>152061.43</v>
      </c>
      <c r="R18" s="6">
        <v>23865.45</v>
      </c>
      <c r="S18" s="6">
        <v>156750.03</v>
      </c>
      <c r="T18" s="6">
        <f>21.09+252.34</f>
        <v>273.43</v>
      </c>
    </row>
    <row r="19" spans="1:20" s="7" customFormat="1" ht="28.5" customHeight="1" x14ac:dyDescent="0.3">
      <c r="A19" s="13">
        <v>3</v>
      </c>
      <c r="B19" s="14" t="s">
        <v>23</v>
      </c>
      <c r="C19" s="15">
        <f t="shared" si="1"/>
        <v>13836403.77</v>
      </c>
      <c r="D19" s="15">
        <f t="shared" ref="D19:T19" si="2">SUM(D20:D31)</f>
        <v>436233.73</v>
      </c>
      <c r="E19" s="15">
        <f t="shared" si="2"/>
        <v>1902245.96</v>
      </c>
      <c r="F19" s="15">
        <f t="shared" si="2"/>
        <v>164831.84</v>
      </c>
      <c r="G19" s="15">
        <f t="shared" si="2"/>
        <v>239267.18</v>
      </c>
      <c r="H19" s="15">
        <f t="shared" si="2"/>
        <v>737998.79</v>
      </c>
      <c r="I19" s="15">
        <f t="shared" si="2"/>
        <v>139119.53</v>
      </c>
      <c r="J19" s="15">
        <f t="shared" si="2"/>
        <v>23682</v>
      </c>
      <c r="K19" s="15">
        <f t="shared" si="2"/>
        <v>119593.20999999998</v>
      </c>
      <c r="L19" s="15">
        <f t="shared" si="2"/>
        <v>37309</v>
      </c>
      <c r="M19" s="15">
        <f t="shared" si="2"/>
        <v>361669.94</v>
      </c>
      <c r="N19" s="15">
        <f t="shared" si="2"/>
        <v>4027220.55</v>
      </c>
      <c r="O19" s="15">
        <f t="shared" si="2"/>
        <v>598591.58000000007</v>
      </c>
      <c r="P19" s="15">
        <f t="shared" si="2"/>
        <v>504604.15999999997</v>
      </c>
      <c r="Q19" s="15">
        <f t="shared" si="2"/>
        <v>1631185.81</v>
      </c>
      <c r="R19" s="15">
        <f t="shared" si="2"/>
        <v>266135.07</v>
      </c>
      <c r="S19" s="15">
        <f t="shared" si="2"/>
        <v>1877974.77</v>
      </c>
      <c r="T19" s="15">
        <f t="shared" si="2"/>
        <v>768740.64999999991</v>
      </c>
    </row>
    <row r="20" spans="1:20" s="7" customFormat="1" ht="18.75" x14ac:dyDescent="0.3">
      <c r="A20" s="4"/>
      <c r="B20" s="12">
        <v>43101</v>
      </c>
      <c r="C20" s="6">
        <f t="shared" si="1"/>
        <v>1280818.2000000002</v>
      </c>
      <c r="D20" s="6">
        <v>34296.51</v>
      </c>
      <c r="E20" s="6">
        <f>164595.31+675.03+1127.53</f>
        <v>166397.87</v>
      </c>
      <c r="F20" s="6">
        <v>12747.34</v>
      </c>
      <c r="G20" s="6">
        <f>3594.4+761.35+6263.03</f>
        <v>10618.779999999999</v>
      </c>
      <c r="H20" s="6">
        <v>58512.08</v>
      </c>
      <c r="I20" s="6">
        <v>10877.93</v>
      </c>
      <c r="J20" s="6">
        <v>1708.06</v>
      </c>
      <c r="K20" s="6">
        <v>9092.5</v>
      </c>
      <c r="L20" s="6">
        <v>2742.89</v>
      </c>
      <c r="M20" s="6">
        <v>28650.84</v>
      </c>
      <c r="N20" s="6">
        <v>499668.01</v>
      </c>
      <c r="O20" s="6">
        <v>44421.87</v>
      </c>
      <c r="P20" s="6">
        <v>37002.35</v>
      </c>
      <c r="Q20" s="6">
        <v>119343.89</v>
      </c>
      <c r="R20" s="6">
        <v>18584.13</v>
      </c>
      <c r="S20" s="6">
        <v>162259.88</v>
      </c>
      <c r="T20" s="6">
        <v>63893.27</v>
      </c>
    </row>
    <row r="21" spans="1:20" s="7" customFormat="1" ht="18.75" x14ac:dyDescent="0.3">
      <c r="A21" s="4"/>
      <c r="B21" s="12">
        <v>43132</v>
      </c>
      <c r="C21" s="6">
        <f t="shared" si="1"/>
        <v>1360088.3599999999</v>
      </c>
      <c r="D21" s="6">
        <v>33791.49</v>
      </c>
      <c r="E21" s="6">
        <f>158579.47+480.59+728.8</f>
        <v>159788.85999999999</v>
      </c>
      <c r="F21" s="6">
        <v>12648.61</v>
      </c>
      <c r="G21" s="6">
        <f>5982.26+1415.16+10453.34</f>
        <v>17850.760000000002</v>
      </c>
      <c r="H21" s="6">
        <v>57202.38</v>
      </c>
      <c r="I21" s="6">
        <v>11237.02</v>
      </c>
      <c r="J21" s="6">
        <v>1729.25</v>
      </c>
      <c r="K21" s="6">
        <v>8873.1</v>
      </c>
      <c r="L21" s="6">
        <v>2724.67</v>
      </c>
      <c r="M21" s="6">
        <v>28964.2</v>
      </c>
      <c r="N21" s="6">
        <v>560672.72</v>
      </c>
      <c r="O21" s="6">
        <v>46167.13</v>
      </c>
      <c r="P21" s="6">
        <v>37123.449999999997</v>
      </c>
      <c r="Q21" s="6">
        <v>127962.42</v>
      </c>
      <c r="R21" s="6">
        <v>19954.060000000001</v>
      </c>
      <c r="S21" s="6">
        <v>170673.7</v>
      </c>
      <c r="T21" s="6">
        <v>62724.54</v>
      </c>
    </row>
    <row r="22" spans="1:20" s="7" customFormat="1" ht="18.75" x14ac:dyDescent="0.3">
      <c r="A22" s="4"/>
      <c r="B22" s="12">
        <v>43160</v>
      </c>
      <c r="C22" s="6">
        <f t="shared" si="1"/>
        <v>1631349.6300000001</v>
      </c>
      <c r="D22" s="6">
        <v>36712.83</v>
      </c>
      <c r="E22" s="6">
        <f>161918.45+303.87+272.98</f>
        <v>162495.30000000002</v>
      </c>
      <c r="F22" s="6">
        <v>13976.64</v>
      </c>
      <c r="G22" s="6">
        <f>7962.21+1197.6+13377.74</f>
        <v>22537.55</v>
      </c>
      <c r="H22" s="6">
        <v>61759.12</v>
      </c>
      <c r="I22" s="6">
        <v>12161.56</v>
      </c>
      <c r="J22" s="6">
        <v>2285.0100000000002</v>
      </c>
      <c r="K22" s="6">
        <v>10007.75</v>
      </c>
      <c r="L22" s="6">
        <v>3463.19</v>
      </c>
      <c r="M22" s="6">
        <v>30488.21</v>
      </c>
      <c r="N22" s="6">
        <v>757730.87</v>
      </c>
      <c r="O22" s="6">
        <v>51639.79</v>
      </c>
      <c r="P22" s="6">
        <v>41601.67</v>
      </c>
      <c r="Q22" s="6">
        <v>153354.09</v>
      </c>
      <c r="R22" s="6">
        <f>24429.53+494.21</f>
        <v>24923.739999999998</v>
      </c>
      <c r="S22" s="6">
        <v>173652.78</v>
      </c>
      <c r="T22" s="6">
        <v>72559.53</v>
      </c>
    </row>
    <row r="23" spans="1:20" s="38" customFormat="1" ht="18.75" x14ac:dyDescent="0.3">
      <c r="A23" s="35"/>
      <c r="B23" s="36">
        <v>43191</v>
      </c>
      <c r="C23" s="37">
        <f>SUM(D23:T23)</f>
        <v>1749959.9600000002</v>
      </c>
      <c r="D23" s="37">
        <f>-2751.19+45529.27</f>
        <v>42778.079999999994</v>
      </c>
      <c r="E23" s="37">
        <f>84.84-112.58-2981.55+802.22+955.29+117630.88</f>
        <v>116379.1</v>
      </c>
      <c r="F23" s="37">
        <f>-992.22+17103.51</f>
        <v>16111.289999999999</v>
      </c>
      <c r="G23" s="37">
        <f>-292.5+9376.9</f>
        <v>9084.4</v>
      </c>
      <c r="H23" s="37">
        <f>-3876.63+77349.51</f>
        <v>73472.87999999999</v>
      </c>
      <c r="I23" s="37">
        <f>-3852.76+14799.47</f>
        <v>10946.71</v>
      </c>
      <c r="J23" s="37">
        <f>-580.54+2418.04</f>
        <v>1837.5</v>
      </c>
      <c r="K23" s="37">
        <f>-561.92+12048.67</f>
        <v>11486.75</v>
      </c>
      <c r="L23" s="37">
        <f>-953.58+3791.37</f>
        <v>2837.79</v>
      </c>
      <c r="M23" s="37">
        <f>-9159.96+37849.45</f>
        <v>28689.489999999998</v>
      </c>
      <c r="N23" s="37">
        <f>36185.73+838984.16</f>
        <v>875169.89</v>
      </c>
      <c r="O23" s="37">
        <f>-1911.36+49234.68</f>
        <v>47323.32</v>
      </c>
      <c r="P23" s="37">
        <f>-1041.49+41355.36</f>
        <v>40313.870000000003</v>
      </c>
      <c r="Q23" s="37">
        <f>4570.9+183185.1</f>
        <v>187756</v>
      </c>
      <c r="R23" s="37">
        <f>99.02-315.55+28505.41+351.7</f>
        <v>28640.58</v>
      </c>
      <c r="S23" s="37">
        <f>-14853.78+163659.14</f>
        <v>148805.36000000002</v>
      </c>
      <c r="T23" s="37">
        <f>5610.06-184.42-2128.52+89313.1+1956.48+13760.25</f>
        <v>108326.95</v>
      </c>
    </row>
    <row r="24" spans="1:20" s="7" customFormat="1" ht="18.75" x14ac:dyDescent="0.3">
      <c r="A24" s="4"/>
      <c r="B24" s="12">
        <v>43221</v>
      </c>
      <c r="C24" s="6">
        <f t="shared" si="1"/>
        <v>1132451.47</v>
      </c>
      <c r="D24" s="6">
        <f>31845.3-221.27</f>
        <v>31624.03</v>
      </c>
      <c r="E24" s="6">
        <f>181.38-224.34+153771.36+76.39+12.45+26.24</f>
        <v>153843.48000000001</v>
      </c>
      <c r="F24" s="6">
        <f>11552.18-76.41</f>
        <v>11475.77</v>
      </c>
      <c r="G24" s="6">
        <f>7412.36+708.68+11819.1-1.04-1.36</f>
        <v>19937.739999999998</v>
      </c>
      <c r="H24" s="6">
        <f>56748.03-325.84</f>
        <v>56422.19</v>
      </c>
      <c r="I24" s="6">
        <f>11194.19-99.66</f>
        <v>11094.53</v>
      </c>
      <c r="J24" s="6">
        <f>1503.36-0.56</f>
        <v>1502.8</v>
      </c>
      <c r="K24" s="6">
        <f>7718.03-0.75</f>
        <v>7717.28</v>
      </c>
      <c r="L24" s="6">
        <f>2493.75-1.92</f>
        <v>2491.83</v>
      </c>
      <c r="M24" s="6">
        <f>28076.68-6.89</f>
        <v>28069.79</v>
      </c>
      <c r="N24" s="6">
        <f>37760.95+358745.37</f>
        <v>396506.32</v>
      </c>
      <c r="O24" s="6">
        <f>1903.01+40789.29</f>
        <v>42692.3</v>
      </c>
      <c r="P24" s="6">
        <f>-89.71+2054.86-109.54+35733.28</f>
        <v>37588.89</v>
      </c>
      <c r="Q24" s="6">
        <f>8061.73+116507.01</f>
        <v>124568.73999999999</v>
      </c>
      <c r="R24" s="6">
        <f>1759.56+18022.43</f>
        <v>19781.990000000002</v>
      </c>
      <c r="S24" s="6">
        <f>4835.15+125215.45</f>
        <v>130050.59999999999</v>
      </c>
      <c r="T24" s="6">
        <f>884.67+56198.52</f>
        <v>57083.189999999995</v>
      </c>
    </row>
    <row r="25" spans="1:20" s="7" customFormat="1" ht="18.75" x14ac:dyDescent="0.3">
      <c r="A25" s="4"/>
      <c r="B25" s="12">
        <v>43252</v>
      </c>
      <c r="C25" s="6">
        <f t="shared" si="1"/>
        <v>853253.43</v>
      </c>
      <c r="D25" s="6">
        <f>33000.18-177.11</f>
        <v>32823.07</v>
      </c>
      <c r="E25" s="6">
        <f>63.78+42.59+143585.48+4607.82+24.87+2.53</f>
        <v>148327.07</v>
      </c>
      <c r="F25" s="6">
        <f>11929.17-13.44</f>
        <v>11915.73</v>
      </c>
      <c r="G25" s="6">
        <f>7343.93+1336.93+11316.34-23.83-67.73</f>
        <v>19905.64</v>
      </c>
      <c r="H25" s="6">
        <f>55983.62-82.22</f>
        <v>55901.4</v>
      </c>
      <c r="I25" s="6">
        <f>10446.24-110.81</f>
        <v>10335.43</v>
      </c>
      <c r="J25" s="6">
        <f>1407.6-8.5</f>
        <v>1399.1</v>
      </c>
      <c r="K25" s="6">
        <f>8371.9-27</f>
        <v>8344.9</v>
      </c>
      <c r="L25" s="6">
        <f>2567.96-14.2</f>
        <v>2553.7600000000002</v>
      </c>
      <c r="M25" s="6">
        <f>27282.6-140.37</f>
        <v>27142.23</v>
      </c>
      <c r="N25" s="6">
        <f>-2945.28+111016.24</f>
        <v>108070.96</v>
      </c>
      <c r="O25" s="6">
        <f>-284.81+48328.6</f>
        <v>48043.79</v>
      </c>
      <c r="P25" s="6">
        <f>-64.91-302.72+40285.65</f>
        <v>39918.020000000004</v>
      </c>
      <c r="Q25" s="6">
        <f>1373.96+122667.55</f>
        <v>124041.51000000001</v>
      </c>
      <c r="R25" s="6">
        <f>315.06+18989.64</f>
        <v>19304.7</v>
      </c>
      <c r="S25" s="6">
        <f>-2302.94+132766.96</f>
        <v>130464.01999999999</v>
      </c>
      <c r="T25" s="6">
        <f>-357.93+65120.03</f>
        <v>64762.1</v>
      </c>
    </row>
    <row r="26" spans="1:20" s="7" customFormat="1" ht="18.75" x14ac:dyDescent="0.3">
      <c r="A26" s="4"/>
      <c r="B26" s="12">
        <v>43282</v>
      </c>
      <c r="C26" s="6">
        <f t="shared" si="1"/>
        <v>866820.8</v>
      </c>
      <c r="D26" s="6">
        <f>37892.81+42.65</f>
        <v>37935.46</v>
      </c>
      <c r="E26" s="6">
        <f>159786+21.07+88.35+8829.26+44.13+141.11</f>
        <v>168909.92</v>
      </c>
      <c r="F26" s="6">
        <f>14678.59+7.02</f>
        <v>14685.61</v>
      </c>
      <c r="G26" s="6">
        <f>8913.21+1591.11+13658.87+7.13+116.57</f>
        <v>24286.890000000003</v>
      </c>
      <c r="H26" s="6">
        <f>63338.01+67.81</f>
        <v>63405.82</v>
      </c>
      <c r="I26" s="6">
        <f>12836.93+269.81</f>
        <v>13106.74</v>
      </c>
      <c r="J26" s="6">
        <f>2649.15+26.49</f>
        <v>2675.64</v>
      </c>
      <c r="K26" s="6">
        <f>10444.25+35.7</f>
        <v>10479.950000000001</v>
      </c>
      <c r="L26" s="6">
        <f>3837.54-5.48</f>
        <v>3832.06</v>
      </c>
      <c r="M26" s="6">
        <f>31586.87+441.93</f>
        <v>32028.799999999999</v>
      </c>
      <c r="N26" s="6">
        <f>-1948.02+46948.87</f>
        <v>45000.850000000006</v>
      </c>
      <c r="O26" s="6">
        <f>243+48806.26</f>
        <v>49049.26</v>
      </c>
      <c r="P26" s="6">
        <f>252.97+170.77+40604.64</f>
        <v>41028.379999999997</v>
      </c>
      <c r="Q26" s="6">
        <f>1612.27+128260.01</f>
        <v>129872.28</v>
      </c>
      <c r="R26" s="6">
        <f>187.02+19969.75</f>
        <v>20156.77</v>
      </c>
      <c r="S26" s="6">
        <f>140.38+147057</f>
        <v>147197.38</v>
      </c>
      <c r="T26" s="6">
        <f>-9.13+63178.12</f>
        <v>63168.990000000005</v>
      </c>
    </row>
    <row r="27" spans="1:20" s="7" customFormat="1" ht="18.75" x14ac:dyDescent="0.3">
      <c r="A27" s="4"/>
      <c r="B27" s="12">
        <v>43313</v>
      </c>
      <c r="C27" s="6">
        <f t="shared" si="1"/>
        <v>852158.54</v>
      </c>
      <c r="D27" s="6">
        <v>34816.449999999997</v>
      </c>
      <c r="E27" s="6">
        <f>144537.06-45.72+2324.76</f>
        <v>146816.1</v>
      </c>
      <c r="F27" s="6">
        <f>13418.61+36</f>
        <v>13454.61</v>
      </c>
      <c r="G27" s="6">
        <f>7940.86+1334.99+12340.36+12.53+25.33</f>
        <v>21654.07</v>
      </c>
      <c r="H27" s="6">
        <v>58020.69</v>
      </c>
      <c r="I27" s="6">
        <f>11691.62+39.69</f>
        <v>11731.310000000001</v>
      </c>
      <c r="J27" s="6">
        <f>1854.08+6.11</f>
        <v>1860.1899999999998</v>
      </c>
      <c r="K27" s="6">
        <f>9499.86+31.95</f>
        <v>9531.8100000000013</v>
      </c>
      <c r="L27" s="6">
        <f>3040.98+10.03</f>
        <v>3051.01</v>
      </c>
      <c r="M27" s="6">
        <v>29514.69</v>
      </c>
      <c r="N27" s="6">
        <f>-2554.09+62800.26</f>
        <v>60246.17</v>
      </c>
      <c r="O27" s="6">
        <f>-477.56+53739.5</f>
        <v>53261.94</v>
      </c>
      <c r="P27" s="6">
        <f>-260.58+144.82+44019.14</f>
        <v>43903.38</v>
      </c>
      <c r="Q27" s="6">
        <f>-1329.17+114578.04</f>
        <v>113248.87</v>
      </c>
      <c r="R27" s="6">
        <f>-91.73+17318.99</f>
        <v>17227.260000000002</v>
      </c>
      <c r="S27" s="6">
        <f>-265.15+167523.11</f>
        <v>167257.96</v>
      </c>
      <c r="T27" s="6">
        <f>-59.78+66621.81</f>
        <v>66562.03</v>
      </c>
    </row>
    <row r="28" spans="1:20" s="7" customFormat="1" ht="18.75" x14ac:dyDescent="0.3">
      <c r="A28" s="4"/>
      <c r="B28" s="12">
        <v>43344</v>
      </c>
      <c r="C28" s="6">
        <f t="shared" si="1"/>
        <v>797530.22000000009</v>
      </c>
      <c r="D28" s="6">
        <f>32507.69+26.14</f>
        <v>32533.829999999998</v>
      </c>
      <c r="E28" s="6">
        <f>137801.16+58.35+2957.75+7.68</f>
        <v>140824.94</v>
      </c>
      <c r="F28" s="6">
        <f>12610.79+11.49</f>
        <v>12622.28</v>
      </c>
      <c r="G28" s="6">
        <f>7755.81+1110.57+11717.42+8.24+5.35</f>
        <v>20597.390000000003</v>
      </c>
      <c r="H28" s="6">
        <f>54444.93+51.77</f>
        <v>54496.7</v>
      </c>
      <c r="I28" s="6">
        <f>10995.71+9.97</f>
        <v>11005.679999999998</v>
      </c>
      <c r="J28" s="6">
        <f>2370.36+1.38</f>
        <v>2371.7400000000002</v>
      </c>
      <c r="K28" s="6">
        <f>9316.87+9.47</f>
        <v>9326.34</v>
      </c>
      <c r="L28" s="6">
        <f>3422.25+0.33</f>
        <v>3422.58</v>
      </c>
      <c r="M28" s="6">
        <f>28141.38+27.63</f>
        <v>28169.010000000002</v>
      </c>
      <c r="N28" s="6">
        <f>-528.6+37785.02</f>
        <v>37256.42</v>
      </c>
      <c r="O28" s="6">
        <f>145.94+50970.31</f>
        <v>51116.25</v>
      </c>
      <c r="P28" s="6">
        <f>-100.15-43.69+43008.78</f>
        <v>42864.94</v>
      </c>
      <c r="Q28" s="6">
        <f>-75.03+116221.01</f>
        <v>116145.98</v>
      </c>
      <c r="R28" s="6">
        <f>-187.72+21065.12</f>
        <v>20877.399999999998</v>
      </c>
      <c r="S28" s="6">
        <f>446.34+155335.17</f>
        <v>155781.51</v>
      </c>
      <c r="T28" s="6">
        <f>163.02+57954.21</f>
        <v>58117.229999999996</v>
      </c>
    </row>
    <row r="29" spans="1:20" s="7" customFormat="1" ht="18.75" x14ac:dyDescent="0.3">
      <c r="A29" s="4"/>
      <c r="B29" s="12">
        <v>43374</v>
      </c>
      <c r="C29" s="6">
        <f t="shared" si="1"/>
        <v>946047.83999999985</v>
      </c>
      <c r="D29" s="6">
        <f>39088.82+86.15</f>
        <v>39174.97</v>
      </c>
      <c r="E29" s="6">
        <f>170009.52-187.05+15.71</f>
        <v>169838.18</v>
      </c>
      <c r="F29" s="6">
        <f>13728.46+1.04</f>
        <v>13729.5</v>
      </c>
      <c r="G29" s="6">
        <f>8389.76+1109+13317.06-11.2-22.63</f>
        <v>22781.989999999998</v>
      </c>
      <c r="H29" s="6">
        <f>66583.14+166.7</f>
        <v>66749.84</v>
      </c>
      <c r="I29" s="6">
        <f>12116.44-7.59</f>
        <v>12108.85</v>
      </c>
      <c r="J29" s="6">
        <f>1981.62-5.46</f>
        <v>1976.1599999999999</v>
      </c>
      <c r="K29" s="6">
        <f>9994.96-28.53</f>
        <v>9966.4299999999985</v>
      </c>
      <c r="L29" s="6">
        <f>3259.13-8.96</f>
        <v>3250.17</v>
      </c>
      <c r="M29" s="6">
        <f>33813.93+10.86</f>
        <v>33824.79</v>
      </c>
      <c r="N29" s="6">
        <f>-1792.63+38075.17</f>
        <v>36282.54</v>
      </c>
      <c r="O29" s="6">
        <f>-9.99+62038.88</f>
        <v>62028.89</v>
      </c>
      <c r="P29" s="6">
        <f>92.54+51957.64-97.95</f>
        <v>51952.23</v>
      </c>
      <c r="Q29" s="6">
        <f>-147.41+154055.82</f>
        <v>153908.41</v>
      </c>
      <c r="R29" s="6">
        <f>35.79+25788.72</f>
        <v>25824.510000000002</v>
      </c>
      <c r="S29" s="6">
        <f>75.78+175751.22</f>
        <v>175827</v>
      </c>
      <c r="T29" s="6">
        <f>86.03+66737.35</f>
        <v>66823.38</v>
      </c>
    </row>
    <row r="30" spans="1:20" s="7" customFormat="1" ht="18.75" x14ac:dyDescent="0.3">
      <c r="A30" s="4"/>
      <c r="B30" s="12">
        <v>43405</v>
      </c>
      <c r="C30" s="6">
        <f t="shared" si="1"/>
        <v>1014540.0799999998</v>
      </c>
      <c r="D30" s="6">
        <f>33673.07-27.81</f>
        <v>33645.26</v>
      </c>
      <c r="E30" s="6">
        <f>149437.45+115+1426.78+24.66+49.83</f>
        <v>151053.72</v>
      </c>
      <c r="F30" s="6">
        <f>11835.49-45.69</f>
        <v>11789.8</v>
      </c>
      <c r="G30" s="6">
        <f>7328.36+991.28+11637.65+11.3+17.43</f>
        <v>19986.02</v>
      </c>
      <c r="H30" s="6">
        <f>57510.09-205.56</f>
        <v>57304.53</v>
      </c>
      <c r="I30" s="6">
        <f>10428.46+1.3</f>
        <v>10429.759999999998</v>
      </c>
      <c r="J30" s="6">
        <f>1729.83-1.5</f>
        <v>1728.33</v>
      </c>
      <c r="K30" s="6">
        <f>8675.82+18.57</f>
        <v>8694.39</v>
      </c>
      <c r="L30" s="6">
        <f>2836.83-5.05</f>
        <v>2831.7799999999997</v>
      </c>
      <c r="M30" s="6">
        <f>29390.56+50.93</f>
        <v>29441.49</v>
      </c>
      <c r="N30" s="6">
        <f>1524.8+241227.71</f>
        <v>242752.50999999998</v>
      </c>
      <c r="O30" s="6">
        <f>-109.77+50551.05</f>
        <v>50441.280000000006</v>
      </c>
      <c r="P30" s="6">
        <f>84.5+43400.45-14.22</f>
        <v>43470.729999999996</v>
      </c>
      <c r="Q30" s="6">
        <f>1609.64+122110.19</f>
        <v>123719.83</v>
      </c>
      <c r="R30" s="6">
        <f>243.26+22064.84</f>
        <v>22308.1</v>
      </c>
      <c r="S30" s="6">
        <f>-50.25+157277.58</f>
        <v>157227.32999999999</v>
      </c>
      <c r="T30" s="6">
        <f>174.76+47540.46</f>
        <v>47715.22</v>
      </c>
    </row>
    <row r="31" spans="1:20" s="38" customFormat="1" ht="19.5" thickBot="1" x14ac:dyDescent="0.35">
      <c r="A31" s="39"/>
      <c r="B31" s="40">
        <v>43435</v>
      </c>
      <c r="C31" s="41">
        <f t="shared" si="1"/>
        <v>1351385.2400000002</v>
      </c>
      <c r="D31" s="41">
        <f>40335.16+5766.59</f>
        <v>46101.75</v>
      </c>
      <c r="E31" s="41">
        <f>185832.04+255.51+347.98+4014.03+27121.86</f>
        <v>217571.42000000004</v>
      </c>
      <c r="F31" s="41">
        <f>14679.74+4994.92</f>
        <v>19674.66</v>
      </c>
      <c r="G31" s="41">
        <f>8786.46+1794.45+13809.49+4687.03+18.76+929.76</f>
        <v>30025.949999999997</v>
      </c>
      <c r="H31" s="41">
        <f>67895.77+6855.39</f>
        <v>74751.16</v>
      </c>
      <c r="I31" s="41">
        <f>13017.39+1066.62</f>
        <v>14084.009999999998</v>
      </c>
      <c r="J31" s="41">
        <f>2095.43+512.79</f>
        <v>2608.2199999999998</v>
      </c>
      <c r="K31" s="41">
        <f>11106.49+4965.52</f>
        <v>16072.01</v>
      </c>
      <c r="L31" s="41">
        <f>3421.83+685.44</f>
        <v>4107.2700000000004</v>
      </c>
      <c r="M31" s="41">
        <f>35029.1+1657.3</f>
        <v>36686.400000000001</v>
      </c>
      <c r="N31" s="41">
        <f>-284.03+408147.32</f>
        <v>407863.29</v>
      </c>
      <c r="O31" s="41">
        <f>-9.87+52415.63</f>
        <v>52405.759999999995</v>
      </c>
      <c r="P31" s="41">
        <f>-80.31+47914.21+2.35</f>
        <v>47836.25</v>
      </c>
      <c r="Q31" s="41">
        <f>561.74+156702.05</f>
        <v>157263.78999999998</v>
      </c>
      <c r="R31" s="41">
        <f>89.14+28462.69</f>
        <v>28551.829999999998</v>
      </c>
      <c r="S31" s="41">
        <f>270.67+158506.58</f>
        <v>158777.25</v>
      </c>
      <c r="T31" s="41">
        <f>-48.69+37052.91</f>
        <v>37004.22</v>
      </c>
    </row>
    <row r="32" spans="1:20" s="11" customFormat="1" ht="38.25" thickBot="1" x14ac:dyDescent="0.35">
      <c r="A32" s="54">
        <v>4</v>
      </c>
      <c r="B32" s="55" t="s">
        <v>24</v>
      </c>
      <c r="C32" s="56">
        <f>C5+C6-C19</f>
        <v>2870382.1099999975</v>
      </c>
      <c r="D32" s="56">
        <f>D5+D6-D19</f>
        <v>-2653.7799999999697</v>
      </c>
      <c r="E32" s="56">
        <f t="shared" ref="E32:T32" si="3">E5+E6-E19</f>
        <v>2740226.25</v>
      </c>
      <c r="F32" s="56">
        <f t="shared" si="3"/>
        <v>-2477.0099999999802</v>
      </c>
      <c r="G32" s="56">
        <f t="shared" si="3"/>
        <v>22895.610000000044</v>
      </c>
      <c r="H32" s="56">
        <f t="shared" si="3"/>
        <v>-7384.3300000000745</v>
      </c>
      <c r="I32" s="56">
        <f t="shared" si="3"/>
        <v>1100.8099999999977</v>
      </c>
      <c r="J32" s="56">
        <f t="shared" si="3"/>
        <v>-1632.5399999999972</v>
      </c>
      <c r="K32" s="56">
        <f t="shared" si="3"/>
        <v>-4236.1599999999744</v>
      </c>
      <c r="L32" s="56">
        <f t="shared" si="3"/>
        <v>-1096.4500000000044</v>
      </c>
      <c r="M32" s="56">
        <f t="shared" si="3"/>
        <v>5162.9000000000233</v>
      </c>
      <c r="N32" s="56">
        <f t="shared" si="3"/>
        <v>242519.87000000011</v>
      </c>
      <c r="O32" s="56">
        <f t="shared" si="3"/>
        <v>5967.1999999999534</v>
      </c>
      <c r="P32" s="56">
        <f t="shared" si="3"/>
        <v>-8170.4499999999534</v>
      </c>
      <c r="Q32" s="56">
        <f t="shared" si="3"/>
        <v>4862.5600000000559</v>
      </c>
      <c r="R32" s="56">
        <f t="shared" si="3"/>
        <v>-9353.8800000000047</v>
      </c>
      <c r="S32" s="56">
        <f t="shared" si="3"/>
        <v>-17763.350000000326</v>
      </c>
      <c r="T32" s="57">
        <f t="shared" si="3"/>
        <v>-97585.139999999781</v>
      </c>
    </row>
    <row r="33" spans="1:20" ht="17.25" x14ac:dyDescent="0.3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51" customFormat="1" ht="31.5" x14ac:dyDescent="0.5">
      <c r="A34" s="50" t="s">
        <v>86</v>
      </c>
      <c r="D34" s="52"/>
      <c r="E34" s="52"/>
      <c r="F34" s="52"/>
      <c r="G34" s="52"/>
      <c r="H34" s="52"/>
      <c r="I34" s="52"/>
      <c r="J34" s="52"/>
      <c r="K34" s="52" t="str">
        <f>J1</f>
        <v>г. Кохма, ул. Владимирская, д. 33</v>
      </c>
      <c r="L34" s="52"/>
      <c r="M34" s="53"/>
      <c r="N34" s="53"/>
      <c r="O34" s="52"/>
      <c r="P34" s="52"/>
      <c r="Q34" s="52"/>
      <c r="R34" s="52"/>
      <c r="S34" s="52"/>
      <c r="T34" s="53"/>
    </row>
    <row r="35" spans="1:20" s="51" customFormat="1" ht="16.5" customHeight="1" x14ac:dyDescent="0.5">
      <c r="A35" s="50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3"/>
      <c r="O35" s="52"/>
      <c r="P35" s="52"/>
      <c r="Q35" s="52"/>
      <c r="R35" s="52"/>
      <c r="S35" s="52"/>
      <c r="T35" s="53"/>
    </row>
    <row r="36" spans="1:20" ht="60" x14ac:dyDescent="0.25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  <c r="Q36" s="2" t="s">
        <v>17</v>
      </c>
      <c r="R36" s="2" t="s">
        <v>18</v>
      </c>
      <c r="S36" s="2" t="s">
        <v>19</v>
      </c>
      <c r="T36" s="2" t="s">
        <v>20</v>
      </c>
    </row>
    <row r="37" spans="1:20" ht="31.5" customHeight="1" x14ac:dyDescent="0.3">
      <c r="A37" s="20"/>
      <c r="B37" s="21" t="s">
        <v>25</v>
      </c>
      <c r="C37" s="6">
        <f>SUM(D37:T37)</f>
        <v>-2610079.7799999998</v>
      </c>
      <c r="D37" s="6">
        <v>-3304.01</v>
      </c>
      <c r="E37" s="6">
        <v>-2606775.77</v>
      </c>
      <c r="F37" s="6"/>
      <c r="G37" s="6"/>
      <c r="H37" s="6"/>
      <c r="I37" s="6"/>
      <c r="J37" s="6"/>
      <c r="K37" s="6"/>
      <c r="L37" s="6"/>
      <c r="M37" s="22"/>
      <c r="N37" s="22"/>
      <c r="O37" s="6"/>
      <c r="P37" s="6"/>
      <c r="Q37" s="6"/>
      <c r="R37" s="6"/>
      <c r="S37" s="6"/>
      <c r="T37" s="22"/>
    </row>
    <row r="38" spans="1:20" ht="41.25" customHeight="1" x14ac:dyDescent="0.3">
      <c r="A38" s="59" t="s">
        <v>26</v>
      </c>
      <c r="B38" s="59"/>
      <c r="C38" s="23">
        <f>C6</f>
        <v>13913537.609999998</v>
      </c>
      <c r="D38" s="23">
        <f t="shared" ref="D38:T38" si="4">D6</f>
        <v>433579.95</v>
      </c>
      <c r="E38" s="23">
        <f t="shared" si="4"/>
        <v>1849223.94</v>
      </c>
      <c r="F38" s="23">
        <f t="shared" si="4"/>
        <v>162354.83000000002</v>
      </c>
      <c r="G38" s="23">
        <f t="shared" si="4"/>
        <v>262162.79000000004</v>
      </c>
      <c r="H38" s="23">
        <f t="shared" si="4"/>
        <v>730614.46</v>
      </c>
      <c r="I38" s="23">
        <f t="shared" si="4"/>
        <v>140220.34</v>
      </c>
      <c r="J38" s="23">
        <f t="shared" si="4"/>
        <v>22049.460000000003</v>
      </c>
      <c r="K38" s="23">
        <f t="shared" si="4"/>
        <v>115357.05</v>
      </c>
      <c r="L38" s="23">
        <f t="shared" si="4"/>
        <v>36212.549999999996</v>
      </c>
      <c r="M38" s="23">
        <f t="shared" si="4"/>
        <v>366832.84</v>
      </c>
      <c r="N38" s="23">
        <f t="shared" si="4"/>
        <v>4269740.42</v>
      </c>
      <c r="O38" s="23">
        <f t="shared" si="4"/>
        <v>604558.78</v>
      </c>
      <c r="P38" s="23">
        <f t="shared" si="4"/>
        <v>496433.71</v>
      </c>
      <c r="Q38" s="23">
        <f t="shared" si="4"/>
        <v>1636048.37</v>
      </c>
      <c r="R38" s="23">
        <f t="shared" si="4"/>
        <v>256781.19</v>
      </c>
      <c r="S38" s="23">
        <f t="shared" si="4"/>
        <v>1860211.4199999997</v>
      </c>
      <c r="T38" s="23">
        <f t="shared" si="4"/>
        <v>671155.51000000013</v>
      </c>
    </row>
    <row r="39" spans="1:20" ht="29.25" customHeight="1" x14ac:dyDescent="0.3">
      <c r="A39" s="21">
        <v>5</v>
      </c>
      <c r="B39" s="21" t="s">
        <v>27</v>
      </c>
      <c r="C39" s="6">
        <f>SUM(D39:T39)</f>
        <v>13794164.092099998</v>
      </c>
      <c r="D39" s="24">
        <f>D45</f>
        <v>335559.39</v>
      </c>
      <c r="E39" s="24">
        <f>D54+D44</f>
        <v>2184477.5521</v>
      </c>
      <c r="F39" s="24">
        <f>D94</f>
        <v>188007.41</v>
      </c>
      <c r="G39" s="24">
        <f>D102</f>
        <v>101823.48</v>
      </c>
      <c r="H39" s="24">
        <f>D106</f>
        <v>492608</v>
      </c>
      <c r="I39" s="24">
        <f>D111</f>
        <v>143695.21000000002</v>
      </c>
      <c r="J39" s="24">
        <f>D115</f>
        <v>0</v>
      </c>
      <c r="K39" s="24">
        <f>D119</f>
        <v>0</v>
      </c>
      <c r="L39" s="24">
        <f>D124</f>
        <v>0</v>
      </c>
      <c r="M39" s="24">
        <f>D129</f>
        <v>0</v>
      </c>
      <c r="N39" s="24">
        <f>D133</f>
        <v>4267356.3</v>
      </c>
      <c r="O39" s="24">
        <f>D137</f>
        <v>745764.18</v>
      </c>
      <c r="P39" s="24">
        <f>D141</f>
        <v>612269.61</v>
      </c>
      <c r="Q39" s="24">
        <f>D145</f>
        <v>1776922.23</v>
      </c>
      <c r="R39" s="24">
        <f>D149</f>
        <v>278856.27</v>
      </c>
      <c r="S39" s="24">
        <f>D153</f>
        <v>2003633.44</v>
      </c>
      <c r="T39" s="22">
        <f>D157</f>
        <v>663191.02</v>
      </c>
    </row>
    <row r="40" spans="1:20" ht="27" customHeight="1" x14ac:dyDescent="0.3">
      <c r="A40" s="25">
        <v>6</v>
      </c>
      <c r="B40" s="25" t="s">
        <v>28</v>
      </c>
      <c r="C40" s="26">
        <f>C37+C38-C39</f>
        <v>-2490706.2620999999</v>
      </c>
      <c r="D40" s="26">
        <f t="shared" ref="D40:E40" si="5">D37+D38-D39</f>
        <v>94716.549999999988</v>
      </c>
      <c r="E40" s="26">
        <f t="shared" si="5"/>
        <v>-2942029.3821</v>
      </c>
      <c r="F40" s="26">
        <f t="shared" ref="F40:T40" si="6">F38-F39</f>
        <v>-25652.579999999987</v>
      </c>
      <c r="G40" s="26">
        <f t="shared" si="6"/>
        <v>160339.31000000006</v>
      </c>
      <c r="H40" s="26">
        <f t="shared" si="6"/>
        <v>238006.45999999996</v>
      </c>
      <c r="I40" s="26">
        <f t="shared" si="6"/>
        <v>-3474.8700000000244</v>
      </c>
      <c r="J40" s="26">
        <f t="shared" si="6"/>
        <v>22049.460000000003</v>
      </c>
      <c r="K40" s="26">
        <f t="shared" si="6"/>
        <v>115357.05</v>
      </c>
      <c r="L40" s="26">
        <f t="shared" si="6"/>
        <v>36212.549999999996</v>
      </c>
      <c r="M40" s="26">
        <f t="shared" si="6"/>
        <v>366832.84</v>
      </c>
      <c r="N40" s="26">
        <f t="shared" si="6"/>
        <v>2384.1200000001118</v>
      </c>
      <c r="O40" s="26">
        <f t="shared" si="6"/>
        <v>-141205.40000000002</v>
      </c>
      <c r="P40" s="26">
        <f t="shared" si="6"/>
        <v>-115835.89999999997</v>
      </c>
      <c r="Q40" s="26">
        <f t="shared" si="6"/>
        <v>-140873.85999999987</v>
      </c>
      <c r="R40" s="26">
        <f t="shared" si="6"/>
        <v>-22075.080000000016</v>
      </c>
      <c r="S40" s="26">
        <f t="shared" si="6"/>
        <v>-143422.02000000025</v>
      </c>
      <c r="T40" s="26">
        <f t="shared" si="6"/>
        <v>7964.4900000001071</v>
      </c>
    </row>
    <row r="43" spans="1:20" ht="18.75" x14ac:dyDescent="0.3">
      <c r="A43" s="1" t="s">
        <v>29</v>
      </c>
      <c r="D43" s="43">
        <f>D45+D54+D94+D102+D106+D111+D115+D119+D124+D129+D133+D137+D141+D145+D149+D153+D157</f>
        <v>13657588.209999999</v>
      </c>
      <c r="E43" s="27"/>
    </row>
    <row r="44" spans="1:20" ht="19.5" thickBot="1" x14ac:dyDescent="0.35">
      <c r="A44" s="1" t="s">
        <v>63</v>
      </c>
      <c r="D44" s="27">
        <f>D43*0.01</f>
        <v>136575.88209999999</v>
      </c>
      <c r="E44" s="27"/>
    </row>
    <row r="45" spans="1:20" ht="19.5" thickBot="1" x14ac:dyDescent="0.35">
      <c r="A45" s="60" t="s">
        <v>4</v>
      </c>
      <c r="B45" s="61"/>
      <c r="C45" s="61"/>
      <c r="D45" s="44">
        <f>SUM(D46:D52)</f>
        <v>335559.39</v>
      </c>
    </row>
    <row r="46" spans="1:20" ht="15.75" x14ac:dyDescent="0.25">
      <c r="A46" s="45"/>
      <c r="B46" t="s">
        <v>71</v>
      </c>
      <c r="D46" s="46">
        <v>16480</v>
      </c>
    </row>
    <row r="47" spans="1:20" ht="15.75" x14ac:dyDescent="0.25">
      <c r="A47" s="45"/>
      <c r="B47" t="s">
        <v>72</v>
      </c>
      <c r="D47" s="46">
        <v>8525</v>
      </c>
    </row>
    <row r="48" spans="1:20" ht="15.75" x14ac:dyDescent="0.25">
      <c r="A48" s="45"/>
      <c r="B48" t="s">
        <v>73</v>
      </c>
      <c r="D48" s="46">
        <v>14500</v>
      </c>
    </row>
    <row r="49" spans="1:5" ht="15.75" x14ac:dyDescent="0.25">
      <c r="A49" s="45"/>
      <c r="B49" t="s">
        <v>74</v>
      </c>
      <c r="D49" s="46">
        <v>7060</v>
      </c>
    </row>
    <row r="50" spans="1:5" ht="15.75" x14ac:dyDescent="0.25">
      <c r="A50" s="45"/>
      <c r="B50" t="s">
        <v>75</v>
      </c>
      <c r="D50" s="46">
        <v>166690.17000000001</v>
      </c>
    </row>
    <row r="51" spans="1:5" ht="15.75" x14ac:dyDescent="0.25">
      <c r="A51" s="45"/>
      <c r="B51" t="s">
        <v>76</v>
      </c>
      <c r="D51" s="46">
        <v>81213.83</v>
      </c>
    </row>
    <row r="52" spans="1:5" ht="15.75" x14ac:dyDescent="0.25">
      <c r="A52" s="45"/>
      <c r="B52" t="s">
        <v>64</v>
      </c>
      <c r="D52" s="46">
        <v>41090.39</v>
      </c>
    </row>
    <row r="53" spans="1:5" ht="16.5" thickBot="1" x14ac:dyDescent="0.3">
      <c r="A53" s="45"/>
      <c r="D53" s="27"/>
    </row>
    <row r="54" spans="1:5" ht="19.5" thickBot="1" x14ac:dyDescent="0.35">
      <c r="A54" s="60" t="s">
        <v>5</v>
      </c>
      <c r="B54" s="61"/>
      <c r="C54" s="61"/>
      <c r="D54" s="47">
        <f>SUM(D55:D92)</f>
        <v>2047901.67</v>
      </c>
    </row>
    <row r="55" spans="1:5" x14ac:dyDescent="0.25">
      <c r="A55" s="28">
        <v>1</v>
      </c>
      <c r="B55" s="29" t="s">
        <v>30</v>
      </c>
      <c r="D55" s="19"/>
    </row>
    <row r="56" spans="1:5" x14ac:dyDescent="0.25">
      <c r="A56" s="30"/>
      <c r="B56" s="31" t="s">
        <v>31</v>
      </c>
      <c r="C56" s="27"/>
      <c r="D56" s="32">
        <v>1010701.89</v>
      </c>
    </row>
    <row r="57" spans="1:5" x14ac:dyDescent="0.25">
      <c r="A57" s="30"/>
      <c r="B57" s="31" t="s">
        <v>32</v>
      </c>
      <c r="C57" s="27"/>
      <c r="D57" s="32">
        <v>18702.95</v>
      </c>
    </row>
    <row r="58" spans="1:5" x14ac:dyDescent="0.25">
      <c r="A58" s="30"/>
      <c r="B58" s="42" t="s">
        <v>66</v>
      </c>
      <c r="C58" s="27"/>
      <c r="D58" s="32">
        <v>327.60000000000002</v>
      </c>
    </row>
    <row r="59" spans="1:5" ht="30" x14ac:dyDescent="0.25">
      <c r="A59" s="30"/>
      <c r="B59" s="31" t="s">
        <v>33</v>
      </c>
      <c r="C59" s="27"/>
      <c r="D59" s="32">
        <v>19229.38</v>
      </c>
    </row>
    <row r="60" spans="1:5" x14ac:dyDescent="0.25">
      <c r="A60" s="30"/>
      <c r="B60" s="31" t="s">
        <v>34</v>
      </c>
      <c r="C60" s="27"/>
      <c r="D60" s="32">
        <v>9338.4699999999993</v>
      </c>
    </row>
    <row r="61" spans="1:5" x14ac:dyDescent="0.25">
      <c r="A61" s="30"/>
      <c r="B61" s="31" t="s">
        <v>65</v>
      </c>
      <c r="C61" s="27"/>
      <c r="D61" s="32">
        <v>23140.74</v>
      </c>
    </row>
    <row r="62" spans="1:5" x14ac:dyDescent="0.25">
      <c r="A62" s="30"/>
      <c r="B62" s="31" t="s">
        <v>35</v>
      </c>
      <c r="C62" s="27"/>
      <c r="D62" s="32">
        <v>5729.92</v>
      </c>
    </row>
    <row r="63" spans="1:5" x14ac:dyDescent="0.25">
      <c r="A63" s="30"/>
      <c r="B63" s="31" t="s">
        <v>36</v>
      </c>
      <c r="C63" s="27"/>
      <c r="D63" s="32">
        <v>102144.96000000001</v>
      </c>
      <c r="E63" s="19"/>
    </row>
    <row r="64" spans="1:5" x14ac:dyDescent="0.25">
      <c r="A64" s="30"/>
      <c r="B64" s="31" t="s">
        <v>37</v>
      </c>
      <c r="C64" s="27"/>
      <c r="D64" s="32">
        <v>30175.43</v>
      </c>
    </row>
    <row r="65" spans="1:4" x14ac:dyDescent="0.25">
      <c r="A65" s="30"/>
      <c r="B65" s="31" t="s">
        <v>38</v>
      </c>
      <c r="C65" s="27"/>
      <c r="D65" s="32">
        <v>429.45</v>
      </c>
    </row>
    <row r="66" spans="1:4" x14ac:dyDescent="0.25">
      <c r="A66" s="30"/>
      <c r="B66" s="31" t="s">
        <v>39</v>
      </c>
      <c r="C66" s="27"/>
      <c r="D66" s="32">
        <v>1309.1500000000001</v>
      </c>
    </row>
    <row r="67" spans="1:4" x14ac:dyDescent="0.25">
      <c r="A67" s="30"/>
      <c r="B67" s="31" t="s">
        <v>40</v>
      </c>
      <c r="C67" s="27"/>
      <c r="D67" s="32">
        <v>2157.15</v>
      </c>
    </row>
    <row r="68" spans="1:4" ht="30" x14ac:dyDescent="0.25">
      <c r="A68" s="30"/>
      <c r="B68" s="31" t="s">
        <v>41</v>
      </c>
      <c r="C68" s="27"/>
      <c r="D68" s="32">
        <v>30116.37</v>
      </c>
    </row>
    <row r="69" spans="1:4" x14ac:dyDescent="0.25">
      <c r="A69" s="30"/>
      <c r="B69" s="31" t="s">
        <v>42</v>
      </c>
      <c r="C69" s="27"/>
      <c r="D69" s="32">
        <v>9356.32</v>
      </c>
    </row>
    <row r="70" spans="1:4" x14ac:dyDescent="0.25">
      <c r="A70" s="30"/>
      <c r="B70" s="31" t="s">
        <v>43</v>
      </c>
      <c r="C70" s="27"/>
      <c r="D70" s="32">
        <v>309.14999999999998</v>
      </c>
    </row>
    <row r="71" spans="1:4" ht="30" x14ac:dyDescent="0.25">
      <c r="A71" s="30"/>
      <c r="B71" s="31" t="s">
        <v>44</v>
      </c>
      <c r="C71" s="27"/>
      <c r="D71" s="32">
        <v>2530.79</v>
      </c>
    </row>
    <row r="72" spans="1:4" x14ac:dyDescent="0.25">
      <c r="A72" s="30"/>
      <c r="B72" s="31" t="s">
        <v>45</v>
      </c>
      <c r="C72" s="27"/>
      <c r="D72" s="32">
        <v>1263.75</v>
      </c>
    </row>
    <row r="73" spans="1:4" x14ac:dyDescent="0.25">
      <c r="A73" s="30"/>
      <c r="B73" s="31" t="s">
        <v>46</v>
      </c>
      <c r="C73" s="27"/>
      <c r="D73" s="32">
        <v>563.85</v>
      </c>
    </row>
    <row r="74" spans="1:4" x14ac:dyDescent="0.25">
      <c r="A74" s="30"/>
      <c r="B74" s="31" t="s">
        <v>47</v>
      </c>
      <c r="C74" s="27"/>
      <c r="D74" s="32">
        <v>49528.53</v>
      </c>
    </row>
    <row r="75" spans="1:4" x14ac:dyDescent="0.25">
      <c r="A75" s="30"/>
      <c r="B75" s="31" t="s">
        <v>48</v>
      </c>
      <c r="C75" s="27"/>
      <c r="D75" s="32">
        <v>69.459999999999994</v>
      </c>
    </row>
    <row r="76" spans="1:4" x14ac:dyDescent="0.25">
      <c r="A76" s="30"/>
      <c r="B76" s="31" t="s">
        <v>49</v>
      </c>
      <c r="C76" s="27"/>
      <c r="D76" s="32">
        <v>10354.34</v>
      </c>
    </row>
    <row r="77" spans="1:4" hidden="1" x14ac:dyDescent="0.25">
      <c r="A77" s="30"/>
      <c r="B77" s="31"/>
      <c r="C77" s="27"/>
      <c r="D77" s="27"/>
    </row>
    <row r="78" spans="1:4" x14ac:dyDescent="0.25">
      <c r="A78" s="30"/>
      <c r="B78" s="42"/>
      <c r="C78" s="27"/>
      <c r="D78" s="27"/>
    </row>
    <row r="79" spans="1:4" x14ac:dyDescent="0.25">
      <c r="A79" s="28" t="s">
        <v>51</v>
      </c>
      <c r="B79" s="29" t="s">
        <v>52</v>
      </c>
      <c r="C79" s="27"/>
      <c r="D79" s="19"/>
    </row>
    <row r="80" spans="1:4" ht="30" x14ac:dyDescent="0.25">
      <c r="A80" s="29"/>
      <c r="B80" s="31" t="s">
        <v>53</v>
      </c>
      <c r="C80" s="27"/>
      <c r="D80" s="19">
        <v>495825.27</v>
      </c>
    </row>
    <row r="81" spans="1:4" ht="30" x14ac:dyDescent="0.25">
      <c r="B81" s="31" t="s">
        <v>50</v>
      </c>
      <c r="C81" s="27"/>
      <c r="D81" s="27">
        <v>52185.760000000002</v>
      </c>
    </row>
    <row r="82" spans="1:4" ht="60" x14ac:dyDescent="0.25">
      <c r="B82" s="31" t="s">
        <v>54</v>
      </c>
      <c r="C82" s="27"/>
      <c r="D82" s="27">
        <v>1467.11</v>
      </c>
    </row>
    <row r="83" spans="1:4" ht="30" x14ac:dyDescent="0.25">
      <c r="B83" s="31" t="s">
        <v>55</v>
      </c>
      <c r="C83" s="27"/>
      <c r="D83" s="27">
        <v>9000</v>
      </c>
    </row>
    <row r="84" spans="1:4" ht="30" hidden="1" x14ac:dyDescent="0.25">
      <c r="B84" s="31" t="s">
        <v>56</v>
      </c>
      <c r="C84" s="27"/>
      <c r="D84" s="27"/>
    </row>
    <row r="85" spans="1:4" x14ac:dyDescent="0.25">
      <c r="B85" s="31" t="s">
        <v>57</v>
      </c>
      <c r="C85" s="27"/>
      <c r="D85" s="27">
        <v>8694</v>
      </c>
    </row>
    <row r="86" spans="1:4" ht="30" hidden="1" x14ac:dyDescent="0.25">
      <c r="B86" s="31" t="s">
        <v>58</v>
      </c>
      <c r="C86" s="27"/>
      <c r="D86" s="27"/>
    </row>
    <row r="87" spans="1:4" hidden="1" x14ac:dyDescent="0.25">
      <c r="B87" t="s">
        <v>59</v>
      </c>
      <c r="C87" s="27"/>
      <c r="D87" s="27"/>
    </row>
    <row r="88" spans="1:4" ht="30" x14ac:dyDescent="0.25">
      <c r="B88" s="31" t="s">
        <v>78</v>
      </c>
      <c r="C88" s="27"/>
      <c r="D88" s="27">
        <v>1500</v>
      </c>
    </row>
    <row r="89" spans="1:4" x14ac:dyDescent="0.25">
      <c r="B89" s="31" t="s">
        <v>77</v>
      </c>
      <c r="C89" s="27"/>
      <c r="D89" s="27">
        <v>56887.34</v>
      </c>
    </row>
    <row r="90" spans="1:4" x14ac:dyDescent="0.25">
      <c r="B90" s="31" t="s">
        <v>67</v>
      </c>
      <c r="C90" s="27"/>
      <c r="D90" s="27">
        <v>4289.75</v>
      </c>
    </row>
    <row r="91" spans="1:4" x14ac:dyDescent="0.25">
      <c r="B91" t="s">
        <v>60</v>
      </c>
      <c r="C91" s="27"/>
      <c r="D91" s="27">
        <v>84372.79</v>
      </c>
    </row>
    <row r="92" spans="1:4" x14ac:dyDescent="0.25">
      <c r="B92" s="31" t="s">
        <v>71</v>
      </c>
      <c r="C92" s="27"/>
      <c r="D92" s="27">
        <v>6200</v>
      </c>
    </row>
    <row r="93" spans="1:4" ht="15.75" thickBot="1" x14ac:dyDescent="0.3">
      <c r="C93" s="27"/>
      <c r="D93" s="27"/>
    </row>
    <row r="94" spans="1:4" ht="19.5" thickBot="1" x14ac:dyDescent="0.35">
      <c r="A94" s="60" t="s">
        <v>6</v>
      </c>
      <c r="B94" s="61"/>
      <c r="C94" s="61"/>
      <c r="D94" s="48">
        <f>SUM(D95:D100)</f>
        <v>188007.41</v>
      </c>
    </row>
    <row r="95" spans="1:4" x14ac:dyDescent="0.25">
      <c r="B95" t="s">
        <v>68</v>
      </c>
      <c r="C95" s="27"/>
      <c r="D95" s="27">
        <v>488.98</v>
      </c>
    </row>
    <row r="96" spans="1:4" x14ac:dyDescent="0.25">
      <c r="B96" t="s">
        <v>69</v>
      </c>
      <c r="C96" s="27"/>
      <c r="D96" s="27">
        <v>15349.34</v>
      </c>
    </row>
    <row r="97" spans="1:4" x14ac:dyDescent="0.25">
      <c r="B97" t="s">
        <v>61</v>
      </c>
      <c r="C97" s="27"/>
      <c r="D97" s="27">
        <v>166156.47</v>
      </c>
    </row>
    <row r="98" spans="1:4" x14ac:dyDescent="0.25">
      <c r="B98" t="s">
        <v>64</v>
      </c>
      <c r="C98" s="27"/>
      <c r="D98" s="27">
        <v>6012.62</v>
      </c>
    </row>
    <row r="99" spans="1:4" x14ac:dyDescent="0.25">
      <c r="B99" t="s">
        <v>70</v>
      </c>
      <c r="C99" s="27"/>
      <c r="D99" s="27"/>
    </row>
    <row r="100" spans="1:4" hidden="1" x14ac:dyDescent="0.25">
      <c r="C100" s="27"/>
      <c r="D100" s="27"/>
    </row>
    <row r="101" spans="1:4" ht="15.75" thickBot="1" x14ac:dyDescent="0.3">
      <c r="A101" s="30"/>
      <c r="B101" s="31"/>
      <c r="C101" s="27"/>
      <c r="D101" s="27"/>
    </row>
    <row r="102" spans="1:4" ht="15.75" thickBot="1" x14ac:dyDescent="0.3">
      <c r="A102" s="49" t="s">
        <v>7</v>
      </c>
      <c r="B102" s="33"/>
      <c r="C102" s="34"/>
      <c r="D102" s="48">
        <v>101823.48</v>
      </c>
    </row>
    <row r="103" spans="1:4" x14ac:dyDescent="0.25">
      <c r="A103" s="30"/>
      <c r="B103" s="31"/>
      <c r="C103" s="27"/>
      <c r="D103" s="27"/>
    </row>
    <row r="104" spans="1:4" x14ac:dyDescent="0.25">
      <c r="A104" s="30"/>
      <c r="B104" s="31"/>
      <c r="C104" s="27"/>
      <c r="D104" s="27"/>
    </row>
    <row r="105" spans="1:4" ht="15.75" thickBot="1" x14ac:dyDescent="0.3">
      <c r="A105" s="30"/>
      <c r="B105" s="31"/>
      <c r="C105" s="27"/>
      <c r="D105" s="27"/>
    </row>
    <row r="106" spans="1:4" ht="15.75" thickBot="1" x14ac:dyDescent="0.3">
      <c r="A106" s="49" t="s">
        <v>8</v>
      </c>
      <c r="B106" s="33"/>
      <c r="C106" s="34"/>
      <c r="D106" s="48">
        <v>492608</v>
      </c>
    </row>
    <row r="107" spans="1:4" x14ac:dyDescent="0.25">
      <c r="A107" s="30"/>
      <c r="B107" s="31" t="s">
        <v>81</v>
      </c>
      <c r="C107" s="27"/>
      <c r="D107" s="27">
        <v>2300</v>
      </c>
    </row>
    <row r="108" spans="1:4" hidden="1" x14ac:dyDescent="0.25">
      <c r="A108" s="30"/>
      <c r="B108" s="31"/>
      <c r="C108" s="27"/>
      <c r="D108" s="27"/>
    </row>
    <row r="109" spans="1:4" x14ac:dyDescent="0.25">
      <c r="A109" s="30"/>
      <c r="B109" s="31" t="s">
        <v>82</v>
      </c>
      <c r="C109" s="27"/>
      <c r="D109" s="27">
        <v>469308</v>
      </c>
    </row>
    <row r="110" spans="1:4" ht="30.75" thickBot="1" x14ac:dyDescent="0.3">
      <c r="A110" s="30"/>
      <c r="B110" s="31" t="s">
        <v>83</v>
      </c>
      <c r="C110" s="27"/>
      <c r="D110" s="27">
        <v>21000</v>
      </c>
    </row>
    <row r="111" spans="1:4" ht="15.75" thickBot="1" x14ac:dyDescent="0.3">
      <c r="A111" s="49" t="s">
        <v>9</v>
      </c>
      <c r="B111" s="33"/>
      <c r="C111" s="34"/>
      <c r="D111" s="48">
        <f>D112+D113</f>
        <v>143695.21000000002</v>
      </c>
    </row>
    <row r="112" spans="1:4" x14ac:dyDescent="0.25">
      <c r="A112" s="30"/>
      <c r="B112" s="31" t="s">
        <v>79</v>
      </c>
      <c r="C112" s="27"/>
      <c r="D112" s="27">
        <v>139175.57</v>
      </c>
    </row>
    <row r="113" spans="1:4" x14ac:dyDescent="0.25">
      <c r="A113" s="30"/>
      <c r="B113" s="31" t="s">
        <v>80</v>
      </c>
      <c r="C113" s="27"/>
      <c r="D113" s="27">
        <v>4519.6400000000003</v>
      </c>
    </row>
    <row r="114" spans="1:4" ht="15.75" hidden="1" thickBot="1" x14ac:dyDescent="0.3">
      <c r="A114" s="30"/>
      <c r="B114" s="31"/>
      <c r="C114" s="27"/>
      <c r="D114" s="27"/>
    </row>
    <row r="115" spans="1:4" ht="15.75" hidden="1" thickBot="1" x14ac:dyDescent="0.3">
      <c r="A115" s="49" t="s">
        <v>10</v>
      </c>
      <c r="B115" s="33"/>
      <c r="C115" s="34"/>
      <c r="D115" s="48"/>
    </row>
    <row r="116" spans="1:4" hidden="1" x14ac:dyDescent="0.25">
      <c r="A116" s="30"/>
      <c r="B116" s="31"/>
      <c r="C116" s="27"/>
      <c r="D116" s="27"/>
    </row>
    <row r="117" spans="1:4" hidden="1" x14ac:dyDescent="0.25">
      <c r="A117" s="30"/>
      <c r="B117" s="42"/>
      <c r="C117" s="27"/>
      <c r="D117" s="27"/>
    </row>
    <row r="118" spans="1:4" ht="15.75" hidden="1" thickBot="1" x14ac:dyDescent="0.3">
      <c r="A118" s="28"/>
      <c r="B118" s="29"/>
      <c r="C118" s="27"/>
      <c r="D118" s="19"/>
    </row>
    <row r="119" spans="1:4" ht="15.75" hidden="1" thickBot="1" x14ac:dyDescent="0.3">
      <c r="A119" s="49" t="s">
        <v>11</v>
      </c>
      <c r="B119" s="33"/>
      <c r="C119" s="34"/>
      <c r="D119" s="48"/>
    </row>
    <row r="120" spans="1:4" hidden="1" x14ac:dyDescent="0.25">
      <c r="B120" s="31"/>
      <c r="C120" s="27"/>
      <c r="D120" s="27"/>
    </row>
    <row r="121" spans="1:4" hidden="1" x14ac:dyDescent="0.25">
      <c r="B121" s="31"/>
      <c r="C121" s="27"/>
      <c r="D121" s="27"/>
    </row>
    <row r="122" spans="1:4" hidden="1" x14ac:dyDescent="0.25">
      <c r="B122" s="31"/>
      <c r="C122" s="27"/>
      <c r="D122" s="27"/>
    </row>
    <row r="123" spans="1:4" ht="15.75" hidden="1" thickBot="1" x14ac:dyDescent="0.3">
      <c r="B123" s="31"/>
      <c r="C123" s="27"/>
      <c r="D123" s="27"/>
    </row>
    <row r="124" spans="1:4" ht="15.75" hidden="1" thickBot="1" x14ac:dyDescent="0.3">
      <c r="A124" s="49" t="s">
        <v>12</v>
      </c>
      <c r="B124" s="33"/>
      <c r="C124" s="34"/>
      <c r="D124" s="48"/>
    </row>
    <row r="125" spans="1:4" hidden="1" x14ac:dyDescent="0.25">
      <c r="B125" s="31"/>
      <c r="C125" s="27"/>
      <c r="D125" s="27"/>
    </row>
    <row r="126" spans="1:4" hidden="1" x14ac:dyDescent="0.25">
      <c r="C126" s="27"/>
      <c r="D126" s="27"/>
    </row>
    <row r="127" spans="1:4" hidden="1" x14ac:dyDescent="0.25">
      <c r="B127" s="31"/>
      <c r="C127" s="27"/>
      <c r="D127" s="27"/>
    </row>
    <row r="128" spans="1:4" ht="15.75" hidden="1" thickBot="1" x14ac:dyDescent="0.3">
      <c r="C128" s="27"/>
      <c r="D128" s="27"/>
    </row>
    <row r="129" spans="1:4" ht="15.75" hidden="1" thickBot="1" x14ac:dyDescent="0.3">
      <c r="A129" s="49" t="s">
        <v>13</v>
      </c>
      <c r="B129" s="33"/>
      <c r="C129" s="34"/>
      <c r="D129" s="48"/>
    </row>
    <row r="130" spans="1:4" hidden="1" x14ac:dyDescent="0.25">
      <c r="A130" s="58"/>
      <c r="B130" s="58"/>
      <c r="C130" s="58"/>
      <c r="D130" s="19"/>
    </row>
    <row r="131" spans="1:4" hidden="1" x14ac:dyDescent="0.25">
      <c r="B131" s="31"/>
      <c r="C131" s="27"/>
      <c r="D131" s="27"/>
    </row>
    <row r="132" spans="1:4" ht="15.75" thickBot="1" x14ac:dyDescent="0.3">
      <c r="B132" s="31"/>
      <c r="C132" s="27"/>
      <c r="D132" s="27"/>
    </row>
    <row r="133" spans="1:4" ht="15.75" thickBot="1" x14ac:dyDescent="0.3">
      <c r="A133" s="49" t="s">
        <v>14</v>
      </c>
      <c r="B133" s="33"/>
      <c r="C133" s="34"/>
      <c r="D133" s="48">
        <v>4267356.3</v>
      </c>
    </row>
    <row r="134" spans="1:4" x14ac:dyDescent="0.25">
      <c r="B134" s="31"/>
      <c r="C134" s="27"/>
      <c r="D134" s="27"/>
    </row>
    <row r="135" spans="1:4" x14ac:dyDescent="0.25">
      <c r="B135" s="31"/>
      <c r="C135" s="27"/>
      <c r="D135" s="27"/>
    </row>
    <row r="136" spans="1:4" ht="15.75" thickBot="1" x14ac:dyDescent="0.3">
      <c r="B136" s="31"/>
      <c r="C136" s="27"/>
      <c r="D136" s="27"/>
    </row>
    <row r="137" spans="1:4" ht="15.75" thickBot="1" x14ac:dyDescent="0.3">
      <c r="A137" s="49" t="s">
        <v>15</v>
      </c>
      <c r="B137" s="33"/>
      <c r="C137" s="34"/>
      <c r="D137" s="48">
        <v>745764.18</v>
      </c>
    </row>
    <row r="138" spans="1:4" x14ac:dyDescent="0.25">
      <c r="C138" s="27"/>
      <c r="D138" s="27"/>
    </row>
    <row r="139" spans="1:4" x14ac:dyDescent="0.25">
      <c r="C139" s="27"/>
      <c r="D139" s="27"/>
    </row>
    <row r="140" spans="1:4" ht="15.75" thickBot="1" x14ac:dyDescent="0.3">
      <c r="A140" s="58"/>
      <c r="B140" s="58"/>
      <c r="C140" s="58"/>
      <c r="D140" s="19"/>
    </row>
    <row r="141" spans="1:4" ht="15.75" thickBot="1" x14ac:dyDescent="0.3">
      <c r="A141" s="49" t="s">
        <v>16</v>
      </c>
      <c r="B141" s="33"/>
      <c r="C141" s="34"/>
      <c r="D141" s="48">
        <v>612269.61</v>
      </c>
    </row>
    <row r="142" spans="1:4" x14ac:dyDescent="0.25">
      <c r="C142" s="27"/>
      <c r="D142" s="27"/>
    </row>
    <row r="143" spans="1:4" x14ac:dyDescent="0.25">
      <c r="C143" s="27"/>
      <c r="D143" s="27"/>
    </row>
    <row r="144" spans="1:4" ht="15.75" thickBot="1" x14ac:dyDescent="0.3">
      <c r="A144" s="58"/>
      <c r="B144" s="58"/>
      <c r="C144" s="58"/>
      <c r="D144" s="19"/>
    </row>
    <row r="145" spans="1:4" ht="15.75" thickBot="1" x14ac:dyDescent="0.3">
      <c r="A145" s="49" t="s">
        <v>17</v>
      </c>
      <c r="B145" s="33"/>
      <c r="C145" s="34"/>
      <c r="D145" s="48">
        <v>1776922.23</v>
      </c>
    </row>
    <row r="146" spans="1:4" x14ac:dyDescent="0.25">
      <c r="C146" s="27"/>
      <c r="D146" s="27"/>
    </row>
    <row r="147" spans="1:4" x14ac:dyDescent="0.25">
      <c r="C147" s="27"/>
      <c r="D147" s="27"/>
    </row>
    <row r="148" spans="1:4" ht="15.75" thickBot="1" x14ac:dyDescent="0.3">
      <c r="A148" s="58"/>
      <c r="B148" s="58"/>
      <c r="C148" s="58"/>
      <c r="D148" s="19"/>
    </row>
    <row r="149" spans="1:4" ht="15.75" thickBot="1" x14ac:dyDescent="0.3">
      <c r="A149" s="49" t="s">
        <v>18</v>
      </c>
      <c r="B149" s="33"/>
      <c r="C149" s="34"/>
      <c r="D149" s="48">
        <v>278856.27</v>
      </c>
    </row>
    <row r="150" spans="1:4" x14ac:dyDescent="0.25">
      <c r="C150" s="27"/>
      <c r="D150" s="27"/>
    </row>
    <row r="151" spans="1:4" x14ac:dyDescent="0.25">
      <c r="C151" s="27"/>
      <c r="D151" s="27"/>
    </row>
    <row r="152" spans="1:4" ht="15.75" thickBot="1" x14ac:dyDescent="0.3">
      <c r="A152" s="58"/>
      <c r="B152" s="58"/>
      <c r="C152" s="58"/>
      <c r="D152" s="19"/>
    </row>
    <row r="153" spans="1:4" ht="15.75" thickBot="1" x14ac:dyDescent="0.3">
      <c r="A153" s="49" t="s">
        <v>19</v>
      </c>
      <c r="B153" s="33"/>
      <c r="C153" s="34"/>
      <c r="D153" s="48">
        <v>2003633.44</v>
      </c>
    </row>
    <row r="154" spans="1:4" x14ac:dyDescent="0.25">
      <c r="C154" s="27"/>
      <c r="D154" s="27"/>
    </row>
    <row r="155" spans="1:4" x14ac:dyDescent="0.25">
      <c r="C155" s="27"/>
      <c r="D155" s="27"/>
    </row>
    <row r="156" spans="1:4" ht="15.75" thickBot="1" x14ac:dyDescent="0.3">
      <c r="A156" s="58"/>
      <c r="B156" s="58"/>
      <c r="C156" s="58"/>
      <c r="D156" s="19"/>
    </row>
    <row r="157" spans="1:4" ht="15.75" thickBot="1" x14ac:dyDescent="0.3">
      <c r="A157" s="49" t="s">
        <v>20</v>
      </c>
      <c r="B157" s="33"/>
      <c r="C157" s="34"/>
      <c r="D157" s="48">
        <v>663191.02</v>
      </c>
    </row>
    <row r="158" spans="1:4" x14ac:dyDescent="0.25">
      <c r="C158" s="27"/>
      <c r="D158" s="27"/>
    </row>
    <row r="159" spans="1:4" x14ac:dyDescent="0.25">
      <c r="C159" s="27"/>
      <c r="D159" s="27"/>
    </row>
    <row r="161" spans="2:2" x14ac:dyDescent="0.25">
      <c r="B161" t="s">
        <v>84</v>
      </c>
    </row>
    <row r="164" spans="2:2" x14ac:dyDescent="0.25">
      <c r="B164" t="s">
        <v>85</v>
      </c>
    </row>
  </sheetData>
  <mergeCells count="10">
    <mergeCell ref="A144:C144"/>
    <mergeCell ref="A148:C148"/>
    <mergeCell ref="A152:C152"/>
    <mergeCell ref="A156:C156"/>
    <mergeCell ref="A38:B38"/>
    <mergeCell ref="A45:C45"/>
    <mergeCell ref="A54:C54"/>
    <mergeCell ref="A94:C94"/>
    <mergeCell ref="A130:C130"/>
    <mergeCell ref="A140:C140"/>
  </mergeCells>
  <pageMargins left="0.51181102362204722" right="0.51181102362204722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Влад.33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2019-03-28T06:52:29Z</dcterms:modified>
</cp:coreProperties>
</file>